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D:\Antreprenoriat\Antreprenoriat Berkeley 2025\Tema 9 FCIM Elaborarea unui plan financiar\Modele planuri de afaceri FCIM\Model plan de afacere cip masini\"/>
    </mc:Choice>
  </mc:AlternateContent>
  <xr:revisionPtr revIDLastSave="0" documentId="13_ncr:1_{1157822B-AA3F-42CE-A76D-03B6C4660FF7}" xr6:coauthVersionLast="45" xr6:coauthVersionMax="45" xr10:uidLastSave="{00000000-0000-0000-0000-000000000000}"/>
  <bookViews>
    <workbookView xWindow="-108" yWindow="-108" windowWidth="23256" windowHeight="13176" firstSheet="1" activeTab="2" xr2:uid="{00000000-000D-0000-FFFF-FFFF00000000}"/>
  </bookViews>
  <sheets>
    <sheet name="Planul Investitional" sheetId="6" r:id="rId1"/>
    <sheet name="Venit" sheetId="3" r:id="rId2"/>
    <sheet name="Mijloace fixe" sheetId="9" r:id="rId3"/>
    <sheet name="Fondul de salarizare" sheetId="10" r:id="rId4"/>
    <sheet name="Cheltuieli" sheetId="2" r:id="rId5"/>
    <sheet name="Profit&amp;Pierderi" sheetId="4" r:id="rId6"/>
    <sheet name="Cash Flow" sheetId="7" r:id="rId7"/>
    <sheet name="Indicatorii Economici" sheetId="8" r:id="rId8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N12" i="2"/>
  <c r="J12" i="2"/>
  <c r="I12" i="2"/>
  <c r="D12" i="2"/>
  <c r="F30" i="9"/>
  <c r="F29" i="9"/>
  <c r="F28" i="9"/>
  <c r="F27" i="9"/>
  <c r="F26" i="9"/>
  <c r="F25" i="9"/>
  <c r="F24" i="9"/>
  <c r="F23" i="9"/>
  <c r="E12" i="2"/>
  <c r="N19" i="2"/>
  <c r="N9" i="2"/>
  <c r="I19" i="2"/>
  <c r="I9" i="2"/>
  <c r="H13" i="9"/>
  <c r="H14" i="9"/>
  <c r="F14" i="9"/>
  <c r="F13" i="9"/>
  <c r="F12" i="9"/>
  <c r="F11" i="9"/>
  <c r="F10" i="9"/>
  <c r="F9" i="9"/>
  <c r="F8" i="9"/>
  <c r="F7" i="9"/>
  <c r="F18" i="9" s="1"/>
  <c r="F22" i="9"/>
  <c r="F17" i="9"/>
  <c r="I17" i="9" s="1"/>
  <c r="J17" i="9" s="1"/>
  <c r="F16" i="9"/>
  <c r="H12" i="9"/>
  <c r="H11" i="9"/>
  <c r="H10" i="9"/>
  <c r="H9" i="9"/>
  <c r="H8" i="9"/>
  <c r="H7" i="9"/>
  <c r="I9" i="9" l="1"/>
  <c r="J9" i="9" s="1"/>
  <c r="I11" i="9"/>
  <c r="J11" i="9" s="1"/>
  <c r="I13" i="9"/>
  <c r="J13" i="9" s="1"/>
  <c r="I8" i="9"/>
  <c r="J8" i="9" s="1"/>
  <c r="I10" i="9"/>
  <c r="J10" i="9" s="1"/>
  <c r="I12" i="9"/>
  <c r="J12" i="9" s="1"/>
  <c r="I14" i="9"/>
  <c r="J14" i="9" s="1"/>
  <c r="I16" i="9"/>
  <c r="J16" i="9" s="1"/>
  <c r="I7" i="9"/>
  <c r="I18" i="9" l="1"/>
  <c r="E11" i="2" s="1"/>
  <c r="J7" i="9"/>
  <c r="J18" i="9" s="1"/>
  <c r="D11" i="2" s="1"/>
  <c r="N11" i="2" l="1"/>
  <c r="I11" i="2"/>
  <c r="C37" i="10" l="1"/>
  <c r="C36" i="10"/>
  <c r="D36" i="10" s="1"/>
  <c r="C35" i="10"/>
  <c r="D35" i="10" s="1"/>
  <c r="C34" i="10"/>
  <c r="D34" i="10" s="1"/>
  <c r="C33" i="10"/>
  <c r="C32" i="10"/>
  <c r="D32" i="10" s="1"/>
  <c r="C31" i="10"/>
  <c r="D31" i="10" s="1"/>
  <c r="D37" i="10"/>
  <c r="D33" i="10"/>
  <c r="C22" i="10"/>
  <c r="C17" i="10"/>
  <c r="E16" i="10"/>
  <c r="F16" i="10" s="1"/>
  <c r="G16" i="10" s="1"/>
  <c r="H16" i="10" s="1"/>
  <c r="E15" i="10"/>
  <c r="F15" i="10" s="1"/>
  <c r="G15" i="10" s="1"/>
  <c r="H15" i="10" s="1"/>
  <c r="E14" i="10"/>
  <c r="F14" i="10" s="1"/>
  <c r="G14" i="10" s="1"/>
  <c r="H14" i="10" s="1"/>
  <c r="E13" i="10"/>
  <c r="C11" i="10"/>
  <c r="E10" i="10"/>
  <c r="F10" i="10" s="1"/>
  <c r="G10" i="10" s="1"/>
  <c r="H10" i="10" s="1"/>
  <c r="E9" i="10"/>
  <c r="E8" i="10"/>
  <c r="F8" i="10" s="1"/>
  <c r="C23" i="10" l="1"/>
  <c r="E17" i="10"/>
  <c r="D9" i="2" s="1"/>
  <c r="D10" i="2" s="1"/>
  <c r="E11" i="10"/>
  <c r="D19" i="2" s="1"/>
  <c r="D20" i="2" s="1"/>
  <c r="F9" i="10"/>
  <c r="G9" i="10" s="1"/>
  <c r="H9" i="10" s="1"/>
  <c r="G31" i="10"/>
  <c r="F31" i="10" s="1"/>
  <c r="H31" i="10" s="1"/>
  <c r="G32" i="10"/>
  <c r="F32" i="10" s="1"/>
  <c r="H32" i="10" s="1"/>
  <c r="G33" i="10"/>
  <c r="F33" i="10" s="1"/>
  <c r="H33" i="10" s="1"/>
  <c r="G34" i="10"/>
  <c r="F34" i="10" s="1"/>
  <c r="H34" i="10" s="1"/>
  <c r="G35" i="10"/>
  <c r="F35" i="10" s="1"/>
  <c r="H35" i="10" s="1"/>
  <c r="G36" i="10"/>
  <c r="F36" i="10" s="1"/>
  <c r="H36" i="10" s="1"/>
  <c r="G37" i="10"/>
  <c r="F37" i="10" s="1"/>
  <c r="H37" i="10" s="1"/>
  <c r="G8" i="10"/>
  <c r="F13" i="10"/>
  <c r="E23" i="10" l="1"/>
  <c r="F11" i="10"/>
  <c r="F17" i="10"/>
  <c r="G13" i="10"/>
  <c r="G11" i="10"/>
  <c r="H8" i="10"/>
  <c r="H11" i="10" s="1"/>
  <c r="D24" i="7"/>
  <c r="D22" i="7"/>
  <c r="D17" i="7"/>
  <c r="D16" i="7"/>
  <c r="D12" i="7"/>
  <c r="F23" i="10" l="1"/>
  <c r="G17" i="10"/>
  <c r="G23" i="10" s="1"/>
  <c r="H13" i="10"/>
  <c r="H17" i="10" s="1"/>
  <c r="H23" i="10" s="1"/>
  <c r="D18" i="7"/>
  <c r="E12" i="4" l="1"/>
  <c r="C5" i="8" l="1"/>
  <c r="O12" i="4" l="1"/>
  <c r="O14" i="4"/>
  <c r="J14" i="4"/>
  <c r="J12" i="4"/>
  <c r="N26" i="2"/>
  <c r="O20" i="2"/>
  <c r="O19" i="2"/>
  <c r="N17" i="2"/>
  <c r="N9" i="4" s="1"/>
  <c r="O16" i="2"/>
  <c r="O13" i="2"/>
  <c r="O11" i="2"/>
  <c r="O10" i="2"/>
  <c r="O9" i="2"/>
  <c r="I17" i="2"/>
  <c r="I9" i="4" s="1"/>
  <c r="J16" i="2"/>
  <c r="S16" i="3"/>
  <c r="T16" i="3" s="1"/>
  <c r="U16" i="3" s="1"/>
  <c r="L16" i="3"/>
  <c r="M16" i="3" s="1"/>
  <c r="N16" i="3" s="1"/>
  <c r="L15" i="3"/>
  <c r="S15" i="3" s="1"/>
  <c r="T15" i="3" s="1"/>
  <c r="U15" i="3" s="1"/>
  <c r="L14" i="3"/>
  <c r="S14" i="3" s="1"/>
  <c r="T14" i="3" s="1"/>
  <c r="U14" i="3" s="1"/>
  <c r="L13" i="3"/>
  <c r="M13" i="3" s="1"/>
  <c r="N13" i="3" s="1"/>
  <c r="L12" i="3"/>
  <c r="M12" i="3" s="1"/>
  <c r="N12" i="3" s="1"/>
  <c r="L11" i="3"/>
  <c r="S11" i="3" s="1"/>
  <c r="T11" i="3" s="1"/>
  <c r="U11" i="3" s="1"/>
  <c r="L10" i="3"/>
  <c r="J9" i="2"/>
  <c r="J10" i="2"/>
  <c r="J11" i="2"/>
  <c r="J13" i="2"/>
  <c r="J19" i="2"/>
  <c r="J20" i="2"/>
  <c r="I26" i="2"/>
  <c r="I13" i="4" s="1"/>
  <c r="M14" i="3" l="1"/>
  <c r="N14" i="3" s="1"/>
  <c r="M15" i="3"/>
  <c r="N15" i="3" s="1"/>
  <c r="S12" i="3"/>
  <c r="T12" i="3" s="1"/>
  <c r="U12" i="3" s="1"/>
  <c r="S13" i="3"/>
  <c r="T13" i="3" s="1"/>
  <c r="U13" i="3" s="1"/>
  <c r="M11" i="3"/>
  <c r="N11" i="3" s="1"/>
  <c r="M10" i="3"/>
  <c r="M17" i="3" s="1"/>
  <c r="I8" i="4" s="1"/>
  <c r="I10" i="4" s="1"/>
  <c r="I15" i="4" s="1"/>
  <c r="S10" i="3"/>
  <c r="T10" i="3" s="1"/>
  <c r="O26" i="2"/>
  <c r="N13" i="4"/>
  <c r="O17" i="2"/>
  <c r="N29" i="2"/>
  <c r="J17" i="2"/>
  <c r="J26" i="2"/>
  <c r="I29" i="2"/>
  <c r="D26" i="2"/>
  <c r="D13" i="4" s="1"/>
  <c r="F10" i="6"/>
  <c r="F22" i="6" s="1"/>
  <c r="D11" i="7" s="1"/>
  <c r="E22" i="6"/>
  <c r="D12" i="4"/>
  <c r="F16" i="3"/>
  <c r="F15" i="3"/>
  <c r="G15" i="3" s="1"/>
  <c r="F14" i="3"/>
  <c r="F13" i="3"/>
  <c r="G13" i="3" s="1"/>
  <c r="F12" i="3"/>
  <c r="G12" i="3" s="1"/>
  <c r="F11" i="3"/>
  <c r="G11" i="3" s="1"/>
  <c r="G14" i="3"/>
  <c r="F10" i="3"/>
  <c r="G10" i="3" s="1"/>
  <c r="D17" i="2"/>
  <c r="D9" i="4" s="1"/>
  <c r="E9" i="2"/>
  <c r="T17" i="3" l="1"/>
  <c r="N8" i="4" s="1"/>
  <c r="N10" i="4" s="1"/>
  <c r="U10" i="3"/>
  <c r="U17" i="3" s="1"/>
  <c r="N10" i="3"/>
  <c r="N17" i="3" s="1"/>
  <c r="D3" i="8" s="1"/>
  <c r="F17" i="3"/>
  <c r="D8" i="4" s="1"/>
  <c r="E8" i="4" s="1"/>
  <c r="N15" i="4"/>
  <c r="N16" i="4" s="1"/>
  <c r="N17" i="4" s="1"/>
  <c r="O13" i="4"/>
  <c r="J13" i="4"/>
  <c r="J29" i="2"/>
  <c r="D5" i="8" s="1"/>
  <c r="J9" i="4"/>
  <c r="O29" i="2"/>
  <c r="E5" i="8" s="1"/>
  <c r="O9" i="4"/>
  <c r="E3" i="8"/>
  <c r="O8" i="4"/>
  <c r="I16" i="4"/>
  <c r="I17" i="4" s="1"/>
  <c r="D10" i="4"/>
  <c r="G16" i="3"/>
  <c r="G17" i="3" s="1"/>
  <c r="E20" i="2"/>
  <c r="E19" i="2"/>
  <c r="E13" i="2"/>
  <c r="D19" i="7" s="1"/>
  <c r="E10" i="2"/>
  <c r="D20" i="7" l="1"/>
  <c r="C3" i="8"/>
  <c r="D4" i="8" s="1"/>
  <c r="D13" i="7"/>
  <c r="D14" i="7" s="1"/>
  <c r="E4" i="8"/>
  <c r="J8" i="4"/>
  <c r="J10" i="4"/>
  <c r="D7" i="8" s="1"/>
  <c r="D11" i="8" s="1"/>
  <c r="O10" i="4"/>
  <c r="E7" i="8" s="1"/>
  <c r="E11" i="8" s="1"/>
  <c r="J15" i="4"/>
  <c r="E26" i="2"/>
  <c r="E13" i="4" s="1"/>
  <c r="E17" i="2"/>
  <c r="E9" i="4" l="1"/>
  <c r="E10" i="4" s="1"/>
  <c r="E15" i="4" s="1"/>
  <c r="O15" i="4"/>
  <c r="O16" i="4" s="1"/>
  <c r="O17" i="4" s="1"/>
  <c r="E9" i="8" s="1"/>
  <c r="J16" i="4"/>
  <c r="J17" i="4" s="1"/>
  <c r="D9" i="8" s="1"/>
  <c r="E16" i="4" l="1"/>
  <c r="D25" i="7" s="1"/>
  <c r="D27" i="7" s="1"/>
  <c r="D28" i="7" s="1"/>
  <c r="D29" i="7" s="1"/>
  <c r="C7" i="8"/>
  <c r="C11" i="8" s="1"/>
  <c r="E17" i="4" l="1"/>
  <c r="C9" i="8" s="1"/>
  <c r="F9" i="8" l="1"/>
  <c r="H14" i="8"/>
</calcChain>
</file>

<file path=xl/sharedStrings.xml><?xml version="1.0" encoding="utf-8"?>
<sst xmlns="http://schemas.openxmlformats.org/spreadsheetml/2006/main" count="442" uniqueCount="212">
  <si>
    <t>Nr. d/o</t>
  </si>
  <si>
    <t>Venitul lunar, lei</t>
  </si>
  <si>
    <t>5=3*4</t>
  </si>
  <si>
    <t>6=5*12</t>
  </si>
  <si>
    <t>1.</t>
  </si>
  <si>
    <t>2.</t>
  </si>
  <si>
    <t>Cip stadiu 1</t>
  </si>
  <si>
    <t>3.</t>
  </si>
  <si>
    <t>Cip stadiu 2</t>
  </si>
  <si>
    <t>4.</t>
  </si>
  <si>
    <t>Cip</t>
  </si>
  <si>
    <t>Prețurile ...5%</t>
  </si>
  <si>
    <t>Planificarea cheltuielilor pentru primul an de activitate</t>
  </si>
  <si>
    <t>Tipul cheltuielilor</t>
  </si>
  <si>
    <t>Cheltuieli lunare, lei</t>
  </si>
  <si>
    <t>Cheltuieli anual, lei</t>
  </si>
  <si>
    <t>4=3*12 sau 4=3</t>
  </si>
  <si>
    <t>Costul vânzărilor</t>
  </si>
  <si>
    <t>Salariul personalului direct productiv (care participă nemijlocit la prestarea serviciilor)</t>
  </si>
  <si>
    <t>Cote de asigurare socială, lei</t>
  </si>
  <si>
    <t>Amortizarea mijloacelor fixe</t>
  </si>
  <si>
    <t>5.</t>
  </si>
  <si>
    <t>Obiecte de mică valoare și scurtă durată (OMVSD)</t>
  </si>
  <si>
    <t>Arenda boxei</t>
  </si>
  <si>
    <t>6.</t>
  </si>
  <si>
    <t>Reparația/renovarea boxei</t>
  </si>
  <si>
    <t>7.</t>
  </si>
  <si>
    <t>Energia electrică pentru scopuri de producție</t>
  </si>
  <si>
    <t>Total costul vânzărilor</t>
  </si>
  <si>
    <t>Cheltuieli administrative</t>
  </si>
  <si>
    <t>8.</t>
  </si>
  <si>
    <t>Salariul personalului administrativ</t>
  </si>
  <si>
    <t>9.</t>
  </si>
  <si>
    <t>10.</t>
  </si>
  <si>
    <t>Înregistrarea întreprinderii</t>
  </si>
  <si>
    <t>11.</t>
  </si>
  <si>
    <t>Servicii telefonice și internet, bancare</t>
  </si>
  <si>
    <t>12.</t>
  </si>
  <si>
    <t>13.</t>
  </si>
  <si>
    <t>Rechizite de birou</t>
  </si>
  <si>
    <t>Total cheltuieli administrative</t>
  </si>
  <si>
    <t>Cheltuieli de distribuire (comerciale)</t>
  </si>
  <si>
    <t>15.</t>
  </si>
  <si>
    <t>Cheltuieli pentru promovare</t>
  </si>
  <si>
    <t>Total cheltuieli (costul vânzărilor+cheltuieli administrative+cheltuieli de distribuire)</t>
  </si>
  <si>
    <t>Pentru următorii ani putem planifica majorare a cheltuielilor?</t>
  </si>
  <si>
    <t>Tipul veniturilor</t>
  </si>
  <si>
    <t>Pretul pentru o unitate,  lei</t>
  </si>
  <si>
    <t>Volumul lunar, unit (Numarul de masini)</t>
  </si>
  <si>
    <t>Venitul anual, lei</t>
  </si>
  <si>
    <t>Activare launch control</t>
  </si>
  <si>
    <t>Cote de asigurare socială</t>
  </si>
  <si>
    <t>Dobânda bancară și comisioane *</t>
  </si>
  <si>
    <t>Deservirea tehnica</t>
  </si>
  <si>
    <t>Schimbarea sistemului de esapament</t>
  </si>
  <si>
    <t>Total venit pe vânzări</t>
  </si>
  <si>
    <t>Servicii detailing</t>
  </si>
  <si>
    <t>Planificarea venirutilor pentru primul an de activitate</t>
  </si>
  <si>
    <t>Planificarea situației de profit și pierderi pentru primul an de activitate</t>
  </si>
  <si>
    <t>Indicatori</t>
  </si>
  <si>
    <t>Suma lunară, lei</t>
  </si>
  <si>
    <t>Total anul, lei</t>
  </si>
  <si>
    <t>Venit din vînzări</t>
  </si>
  <si>
    <t>Costul vînzărilor</t>
  </si>
  <si>
    <t>Profit brut (3=1-2)</t>
  </si>
  <si>
    <t>Cheltuieli de distribuire</t>
  </si>
  <si>
    <t>Alte cheltuieli operaționale</t>
  </si>
  <si>
    <t>Rezultat din activitatea operaţională=Profit până la impozitare (7=3-4-5-6)</t>
  </si>
  <si>
    <t>Impozitul pe venit (7*12%)</t>
  </si>
  <si>
    <t>Profit (pierdere) net (9=7-8)</t>
  </si>
  <si>
    <t>Cota parte, %</t>
  </si>
  <si>
    <t>TOTAL</t>
  </si>
  <si>
    <t>Mijloace Circulante</t>
  </si>
  <si>
    <t>Reparatie in box</t>
  </si>
  <si>
    <t>OMVSD</t>
  </si>
  <si>
    <t xml:space="preserve">Stand </t>
  </si>
  <si>
    <t xml:space="preserve">Ridicator 2-post Hauvrex 5t HTL2150 </t>
  </si>
  <si>
    <t xml:space="preserve">Asus VivoBook 15 </t>
  </si>
  <si>
    <t xml:space="preserve">Alientech K-Tag Master </t>
  </si>
  <si>
    <t xml:space="preserve">Alientech Kess V2 </t>
  </si>
  <si>
    <t>Samsung Galaxy Tab S6 Lite</t>
  </si>
  <si>
    <t>CIP VAG</t>
  </si>
  <si>
    <t>CIP BMW</t>
  </si>
  <si>
    <t>Mijloace Fixe</t>
  </si>
  <si>
    <t>Surse externe, lei (Credit)</t>
  </si>
  <si>
    <t>Surse proprii, lei</t>
  </si>
  <si>
    <t>Valoarea investitiei, lei</t>
  </si>
  <si>
    <t>Denumirea</t>
  </si>
  <si>
    <t>Nr.</t>
  </si>
  <si>
    <t>PLANUL INVESTITIONAL</t>
  </si>
  <si>
    <t>Planificarea fluxului de numerar pentru primul an de activitate</t>
  </si>
  <si>
    <t>Total primul an, lei</t>
  </si>
  <si>
    <t>Sold de numerar la începutul perioadei</t>
  </si>
  <si>
    <t>Încasări</t>
  </si>
  <si>
    <t>2.1.</t>
  </si>
  <si>
    <t>Depunerea capitalului social</t>
  </si>
  <si>
    <t>2.2.</t>
  </si>
  <si>
    <t>Credit</t>
  </si>
  <si>
    <t>2.3.</t>
  </si>
  <si>
    <t>Încasări din vânzări</t>
  </si>
  <si>
    <t>Total încasări</t>
  </si>
  <si>
    <t>Plăți</t>
  </si>
  <si>
    <t>3.1.</t>
  </si>
  <si>
    <t>Plăți pentru mijloace fixe</t>
  </si>
  <si>
    <t>3.2.</t>
  </si>
  <si>
    <t>Plăți pentru OMVSD</t>
  </si>
  <si>
    <t>3.3.</t>
  </si>
  <si>
    <t>Plata pentru amenajarea boxei</t>
  </si>
  <si>
    <t>3.4.</t>
  </si>
  <si>
    <t>3.5.</t>
  </si>
  <si>
    <t>Plata salariilor și a contribuțiilor de asigurare socială</t>
  </si>
  <si>
    <t>3.6.</t>
  </si>
  <si>
    <t>Rambursarea creditului</t>
  </si>
  <si>
    <t>3.7.</t>
  </si>
  <si>
    <t>Plata dobânzii și a comisioanelor</t>
  </si>
  <si>
    <t>3.8.</t>
  </si>
  <si>
    <t>Plata pentru materia primă</t>
  </si>
  <si>
    <t>3.9.</t>
  </si>
  <si>
    <t>Alte plăți</t>
  </si>
  <si>
    <t>3.10.</t>
  </si>
  <si>
    <t>Plata impozitului pe venit</t>
  </si>
  <si>
    <t>Total plăți</t>
  </si>
  <si>
    <t>Flux net de numerar (4=2-3)</t>
  </si>
  <si>
    <t>Sold de numerar la sfârșitul perioadei (5=1+4)</t>
  </si>
  <si>
    <t>Taxe locale</t>
  </si>
  <si>
    <t>ANUL 2</t>
  </si>
  <si>
    <t>Rezerva pentru prime</t>
  </si>
  <si>
    <t xml:space="preserve"> </t>
  </si>
  <si>
    <t>ANUL 3</t>
  </si>
  <si>
    <t>ANUL 1</t>
  </si>
  <si>
    <t>Alte cheltuieli operaționale (jocul preturilor pe piata)</t>
  </si>
  <si>
    <t>Primul an de activitate</t>
  </si>
  <si>
    <t>Anul doi de activitate</t>
  </si>
  <si>
    <t>Anul trei de activitate</t>
  </si>
  <si>
    <t>Venituri din vânzări, lei</t>
  </si>
  <si>
    <t>Ritmul de creștere față de primul an, %</t>
  </si>
  <si>
    <t>Cheltuieli totale, lei</t>
  </si>
  <si>
    <t>Profit brut, lei</t>
  </si>
  <si>
    <t>Profit net, lei</t>
  </si>
  <si>
    <t>Rentabilitatea veniturilor din vânzări, %</t>
  </si>
  <si>
    <t xml:space="preserve">Timpul de rascumparare a investitiilor </t>
  </si>
  <si>
    <t>Valoarea medie a profitului net</t>
  </si>
  <si>
    <t>1-2 ani</t>
  </si>
  <si>
    <t>4=3*12 || 4=3</t>
  </si>
  <si>
    <t>Se întocmește pentru fiecare an separat</t>
  </si>
  <si>
    <t>Exemplu de calcul a slariului (metoda generală)</t>
  </si>
  <si>
    <t>Informație pentru planul de afaceri</t>
  </si>
  <si>
    <t>N d/p</t>
  </si>
  <si>
    <t>Funcția</t>
  </si>
  <si>
    <t>Numărul angajaților, persoane</t>
  </si>
  <si>
    <t>Salariul de funcție, lei/persoană</t>
  </si>
  <si>
    <t>Salariul brut lunar total, lei</t>
  </si>
  <si>
    <t>Cote de Asigurare Socială, lei (24%)</t>
  </si>
  <si>
    <t>Total cheltuieli lunare cu remunerarea muncii, lei</t>
  </si>
  <si>
    <t>Total cheltuieli anuale cu remunerarea muncii, lei</t>
  </si>
  <si>
    <t>6=5*24%</t>
  </si>
  <si>
    <t>7=5+6</t>
  </si>
  <si>
    <t>8=7*12</t>
  </si>
  <si>
    <t>Director</t>
  </si>
  <si>
    <t>chelt.administrative</t>
  </si>
  <si>
    <t>Vice-director</t>
  </si>
  <si>
    <t>chelt. administrative</t>
  </si>
  <si>
    <t>Contabil</t>
  </si>
  <si>
    <t>total chelt adm.</t>
  </si>
  <si>
    <t>Mecanic</t>
  </si>
  <si>
    <t>costul vânzărilor</t>
  </si>
  <si>
    <t>Motorist</t>
  </si>
  <si>
    <t>Inginer soft</t>
  </si>
  <si>
    <t>Detailer</t>
  </si>
  <si>
    <t>total costul vânzărilor</t>
  </si>
  <si>
    <t>chelt. de distribuire</t>
  </si>
  <si>
    <t>total cheltuieli de distribuire</t>
  </si>
  <si>
    <t>Total</t>
  </si>
  <si>
    <t>Informație pentru angajat</t>
  </si>
  <si>
    <t>Salariul de funcție (brut), lei</t>
  </si>
  <si>
    <t>Rețineri Asigurarea Medicală (9%), lei</t>
  </si>
  <si>
    <r>
      <t xml:space="preserve">Scutirea personală și </t>
    </r>
    <r>
      <rPr>
        <i/>
        <sz val="13"/>
        <color theme="1"/>
        <rFont val="Times New Roman"/>
        <family val="1"/>
        <charset val="204"/>
      </rPr>
      <t>pentru persoanele întreținute</t>
    </r>
    <r>
      <rPr>
        <sz val="13"/>
        <color theme="1"/>
        <rFont val="Times New Roman"/>
        <family val="1"/>
        <charset val="204"/>
      </rPr>
      <t>,lei</t>
    </r>
  </si>
  <si>
    <t>Rețineri impozit pe venit, lei (12%)</t>
  </si>
  <si>
    <t>Venit impozabil, lei</t>
  </si>
  <si>
    <t>Salariul net, lei</t>
  </si>
  <si>
    <t>4=3*9%</t>
  </si>
  <si>
    <t>6=7*12%</t>
  </si>
  <si>
    <t>7=3-4-5</t>
  </si>
  <si>
    <t>8=3-4-6</t>
  </si>
  <si>
    <t>Personal administrativ</t>
  </si>
  <si>
    <t>Personal direct productiv</t>
  </si>
  <si>
    <t>Personal activitatea comercială</t>
  </si>
  <si>
    <t>Venitul impozabil=Salariul brut-Asigurarea medicală-Scutirile (personale, pentru persoanele întreținute)  Personală 2475 lei/lună și p/u persoana întreținută 825 lei/lună</t>
  </si>
  <si>
    <t>Cantitatea, unități</t>
  </si>
  <si>
    <t>Prețul p/u o unitate, lei</t>
  </si>
  <si>
    <t>Suma totală, lei</t>
  </si>
  <si>
    <t>Termen de exploatare, ani</t>
  </si>
  <si>
    <t>Amortizarea anuală, %</t>
  </si>
  <si>
    <t>Amortizarea anuală, lei</t>
  </si>
  <si>
    <t>Amortizarea lunară, lei</t>
  </si>
  <si>
    <t>7=100/6</t>
  </si>
  <si>
    <t>8=5*7/100</t>
  </si>
  <si>
    <t>9=8/12</t>
  </si>
  <si>
    <t>Mijloace fixe (mai mare 12000)</t>
  </si>
  <si>
    <t>100/termen de exploatare</t>
  </si>
  <si>
    <t>Imobilizări necorporale (durata mai mare de un an)</t>
  </si>
  <si>
    <t>OMVSD - (mai mare de 2000 lei și mai puțin de 12000 lei pentru o unitate)</t>
  </si>
  <si>
    <t>Se include la cheltuieli total când se transmit în exploatare</t>
  </si>
  <si>
    <t>Mijloace fixe</t>
  </si>
  <si>
    <t>Complect de instrumente</t>
  </si>
  <si>
    <t>Set pentru diagnostica</t>
  </si>
  <si>
    <t xml:space="preserve">Galletto 1260 ECU Chip </t>
  </si>
  <si>
    <t xml:space="preserve">Masina de insurubat cu impact pneumatica </t>
  </si>
  <si>
    <t xml:space="preserve">Macara pentru motor </t>
  </si>
  <si>
    <t xml:space="preserve">Cric hidraulic pneumatic 22t </t>
  </si>
  <si>
    <t>Compresor ZFL50 2HP</t>
  </si>
  <si>
    <t>Set mobila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</si>
</sst>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BDBDB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ACB9CA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9" fillId="0" borderId="1" xfId="0" applyFont="1" applyBorder="1"/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5" fillId="0" borderId="0" xfId="0" applyFont="1"/>
    <xf numFmtId="1" fontId="6" fillId="0" borderId="1" xfId="0" applyNumberFormat="1" applyFont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0" fillId="7" borderId="1" xfId="0" applyFont="1" applyFill="1" applyBorder="1"/>
    <xf numFmtId="0" fontId="6" fillId="7" borderId="1" xfId="0" applyFont="1" applyFill="1" applyBorder="1" applyAlignment="1">
      <alignment horizontal="center"/>
    </xf>
    <xf numFmtId="0" fontId="12" fillId="0" borderId="0" xfId="1"/>
    <xf numFmtId="0" fontId="1" fillId="2" borderId="1" xfId="1" applyFont="1" applyFill="1" applyBorder="1"/>
    <xf numFmtId="0" fontId="12" fillId="2" borderId="1" xfId="1" applyFill="1" applyBorder="1"/>
    <xf numFmtId="0" fontId="13" fillId="8" borderId="1" xfId="1" applyFont="1" applyFill="1" applyBorder="1"/>
    <xf numFmtId="0" fontId="2" fillId="8" borderId="1" xfId="1" applyFont="1" applyFill="1" applyBorder="1"/>
    <xf numFmtId="0" fontId="12" fillId="8" borderId="1" xfId="1" applyFill="1" applyBorder="1"/>
    <xf numFmtId="0" fontId="2" fillId="2" borderId="1" xfId="1" applyFont="1" applyFill="1" applyBorder="1"/>
    <xf numFmtId="0" fontId="1" fillId="0" borderId="0" xfId="1" applyFont="1"/>
    <xf numFmtId="1" fontId="1" fillId="0" borderId="0" xfId="1" applyNumberFormat="1" applyFont="1"/>
    <xf numFmtId="0" fontId="13" fillId="0" borderId="1" xfId="1" applyFont="1" applyBorder="1"/>
    <xf numFmtId="0" fontId="1" fillId="0" borderId="1" xfId="1" applyFont="1" applyBorder="1"/>
    <xf numFmtId="0" fontId="1" fillId="0" borderId="1" xfId="1" applyFont="1" applyBorder="1" applyAlignment="1">
      <alignment horizontal="right"/>
    </xf>
    <xf numFmtId="0" fontId="12" fillId="0" borderId="1" xfId="1" applyBorder="1"/>
    <xf numFmtId="0" fontId="2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6" fillId="0" borderId="0" xfId="0" applyFont="1"/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left" vertical="center"/>
    </xf>
    <xf numFmtId="0" fontId="19" fillId="11" borderId="1" xfId="0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16" fillId="12" borderId="1" xfId="0" applyFont="1" applyFill="1" applyBorder="1" applyAlignment="1">
      <alignment horizontal="center"/>
    </xf>
    <xf numFmtId="0" fontId="16" fillId="12" borderId="1" xfId="0" applyFont="1" applyFill="1" applyBorder="1"/>
    <xf numFmtId="0" fontId="5" fillId="0" borderId="0" xfId="0" applyFont="1"/>
    <xf numFmtId="0" fontId="11" fillId="0" borderId="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/>
    <xf numFmtId="1" fontId="6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10" borderId="1" xfId="0" applyFont="1" applyFill="1" applyBorder="1"/>
    <xf numFmtId="0" fontId="4" fillId="10" borderId="1" xfId="0" applyFont="1" applyFill="1" applyBorder="1" applyAlignment="1">
      <alignment horizontal="center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wrapText="1"/>
    </xf>
    <xf numFmtId="1" fontId="4" fillId="1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/>
    <xf numFmtId="0" fontId="2" fillId="2" borderId="1" xfId="0" applyFont="1" applyFill="1" applyBorder="1"/>
    <xf numFmtId="0" fontId="15" fillId="13" borderId="1" xfId="0" applyFont="1" applyFill="1" applyBorder="1"/>
    <xf numFmtId="0" fontId="21" fillId="13" borderId="1" xfId="0" applyFont="1" applyFill="1" applyBorder="1" applyAlignment="1">
      <alignment horizontal="center"/>
    </xf>
    <xf numFmtId="1" fontId="16" fillId="0" borderId="1" xfId="0" applyNumberFormat="1" applyFont="1" applyBorder="1" applyAlignment="1">
      <alignment horizontal="center" vertical="center"/>
    </xf>
    <xf numFmtId="1" fontId="19" fillId="11" borderId="1" xfId="0" applyNumberFormat="1" applyFont="1" applyFill="1" applyBorder="1" applyAlignment="1">
      <alignment horizontal="center" vertical="center"/>
    </xf>
    <xf numFmtId="1" fontId="16" fillId="12" borderId="1" xfId="0" applyNumberFormat="1" applyFont="1" applyFill="1" applyBorder="1" applyAlignment="1">
      <alignment horizontal="center"/>
    </xf>
    <xf numFmtId="1" fontId="18" fillId="9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10" fillId="14" borderId="1" xfId="0" applyFont="1" applyFill="1" applyBorder="1"/>
    <xf numFmtId="0" fontId="6" fillId="13" borderId="0" xfId="0" applyFont="1" applyFill="1" applyAlignment="1">
      <alignment horizontal="center"/>
    </xf>
    <xf numFmtId="0" fontId="6" fillId="14" borderId="1" xfId="0" applyFont="1" applyFill="1" applyBorder="1" applyAlignment="1">
      <alignment horizontal="center"/>
    </xf>
    <xf numFmtId="0" fontId="6" fillId="14" borderId="6" xfId="0" applyFont="1" applyFill="1" applyBorder="1" applyAlignment="1">
      <alignment horizontal="center" vertical="center"/>
    </xf>
    <xf numFmtId="0" fontId="10" fillId="14" borderId="6" xfId="0" applyFont="1" applyFill="1" applyBorder="1"/>
    <xf numFmtId="0" fontId="6" fillId="14" borderId="6" xfId="0" applyFont="1" applyFill="1" applyBorder="1" applyAlignment="1">
      <alignment horizontal="center"/>
    </xf>
    <xf numFmtId="0" fontId="14" fillId="0" borderId="0" xfId="1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10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2" fillId="0" borderId="0" xfId="0" applyFont="1"/>
    <xf numFmtId="0" fontId="22" fillId="15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22" fillId="13" borderId="1" xfId="0" applyFont="1" applyFill="1" applyBorder="1" applyAlignment="1">
      <alignment horizontal="center"/>
    </xf>
    <xf numFmtId="0" fontId="22" fillId="16" borderId="1" xfId="0" applyFont="1" applyFill="1" applyBorder="1"/>
    <xf numFmtId="0" fontId="22" fillId="16" borderId="1" xfId="0" applyFont="1" applyFill="1" applyBorder="1" applyAlignment="1">
      <alignment horizontal="center"/>
    </xf>
    <xf numFmtId="0" fontId="22" fillId="16" borderId="1" xfId="0" applyFont="1" applyFill="1" applyBorder="1" applyAlignment="1">
      <alignment horizontal="center" vertical="center"/>
    </xf>
    <xf numFmtId="0" fontId="1" fillId="16" borderId="9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wrapText="1"/>
    </xf>
    <xf numFmtId="0" fontId="22" fillId="15" borderId="1" xfId="0" applyFont="1" applyFill="1" applyBorder="1"/>
    <xf numFmtId="0" fontId="22" fillId="15" borderId="1" xfId="0" applyFont="1" applyFill="1" applyBorder="1" applyAlignment="1">
      <alignment horizontal="center"/>
    </xf>
    <xf numFmtId="0" fontId="23" fillId="15" borderId="1" xfId="0" applyFont="1" applyFill="1" applyBorder="1" applyAlignment="1">
      <alignment horizontal="center"/>
    </xf>
    <xf numFmtId="0" fontId="22" fillId="15" borderId="10" xfId="0" applyFont="1" applyFill="1" applyBorder="1"/>
    <xf numFmtId="0" fontId="22" fillId="15" borderId="0" xfId="0" applyFont="1" applyFill="1" applyAlignment="1">
      <alignment horizontal="center"/>
    </xf>
    <xf numFmtId="0" fontId="23" fillId="15" borderId="0" xfId="0" applyFont="1" applyFill="1" applyAlignment="1">
      <alignment horizontal="center"/>
    </xf>
    <xf numFmtId="0" fontId="22" fillId="13" borderId="1" xfId="0" applyFont="1" applyFill="1" applyBorder="1"/>
    <xf numFmtId="0" fontId="22" fillId="13" borderId="1" xfId="0" applyFont="1" applyFill="1" applyBorder="1" applyAlignment="1">
      <alignment horizontal="center" wrapText="1"/>
    </xf>
    <xf numFmtId="0" fontId="23" fillId="13" borderId="1" xfId="0" applyFont="1" applyFill="1" applyBorder="1" applyAlignment="1">
      <alignment horizontal="center"/>
    </xf>
    <xf numFmtId="0" fontId="22" fillId="2" borderId="1" xfId="0" applyFont="1" applyFill="1" applyBorder="1"/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17" borderId="6" xfId="0" applyFont="1" applyFill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center"/>
    </xf>
    <xf numFmtId="0" fontId="22" fillId="18" borderId="2" xfId="0" applyFont="1" applyFill="1" applyBorder="1" applyAlignment="1">
      <alignment horizontal="center" vertical="center"/>
    </xf>
    <xf numFmtId="0" fontId="22" fillId="18" borderId="3" xfId="0" applyFont="1" applyFill="1" applyBorder="1" applyAlignment="1">
      <alignment horizontal="center" vertical="center"/>
    </xf>
    <xf numFmtId="0" fontId="22" fillId="18" borderId="4" xfId="0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1" fontId="1" fillId="13" borderId="1" xfId="0" applyNumberFormat="1" applyFont="1" applyFill="1" applyBorder="1" applyAlignment="1">
      <alignment horizontal="center" vertical="center" wrapText="1"/>
    </xf>
    <xf numFmtId="2" fontId="1" fillId="13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left" vertical="center" wrapText="1"/>
    </xf>
    <xf numFmtId="2" fontId="1" fillId="13" borderId="6" xfId="0" applyNumberFormat="1" applyFont="1" applyFill="1" applyBorder="1" applyAlignment="1">
      <alignment horizontal="center" vertical="center" wrapText="1"/>
    </xf>
    <xf numFmtId="1" fontId="1" fillId="13" borderId="6" xfId="0" applyNumberFormat="1" applyFont="1" applyFill="1" applyBorder="1" applyAlignment="1">
      <alignment horizontal="center" vertical="center" wrapText="1"/>
    </xf>
    <xf numFmtId="0" fontId="1" fillId="13" borderId="1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" fontId="1" fillId="19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/>
    <xf numFmtId="0" fontId="7" fillId="2" borderId="7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18" borderId="0" xfId="0" applyFont="1" applyFill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" fontId="6" fillId="6" borderId="1" xfId="0" applyNumberFormat="1" applyFont="1" applyFill="1" applyBorder="1" applyAlignment="1">
      <alignment horizontal="center"/>
    </xf>
    <xf numFmtId="1" fontId="6" fillId="6" borderId="0" xfId="0" applyNumberFormat="1" applyFont="1" applyFill="1" applyAlignment="1">
      <alignment horizontal="center"/>
    </xf>
    <xf numFmtId="0" fontId="2" fillId="0" borderId="6" xfId="0" applyFont="1" applyBorder="1"/>
    <xf numFmtId="0" fontId="1" fillId="0" borderId="4" xfId="0" applyFont="1" applyBorder="1" applyAlignment="1">
      <alignment horizontal="center"/>
    </xf>
    <xf numFmtId="0" fontId="2" fillId="19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21" fillId="13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J23"/>
  <sheetViews>
    <sheetView topLeftCell="A10" zoomScale="134" zoomScaleNormal="134" workbookViewId="0">
      <selection activeCell="D28" sqref="D28"/>
    </sheetView>
  </sheetViews>
  <sheetFormatPr defaultColWidth="9.109375" defaultRowHeight="14.4" x14ac:dyDescent="0.3"/>
  <cols>
    <col min="1" max="2" width="9.109375" style="26"/>
    <col min="3" max="3" width="6.6640625" style="26" customWidth="1"/>
    <col min="4" max="4" width="36.44140625" style="26" customWidth="1"/>
    <col min="5" max="5" width="32.88671875" style="26" customWidth="1"/>
    <col min="6" max="6" width="18.33203125" style="26" customWidth="1"/>
    <col min="7" max="7" width="28.5546875" style="26" customWidth="1"/>
    <col min="8" max="16384" width="9.109375" style="26"/>
  </cols>
  <sheetData>
    <row r="3" spans="3:10" ht="17.399999999999999" x14ac:dyDescent="0.3">
      <c r="C3" s="41"/>
      <c r="D3" s="40"/>
      <c r="E3" s="40"/>
      <c r="F3" s="40"/>
      <c r="G3" s="40"/>
    </row>
    <row r="4" spans="3:10" ht="17.399999999999999" x14ac:dyDescent="0.3">
      <c r="C4" s="41"/>
      <c r="D4" s="40"/>
      <c r="E4" s="40"/>
      <c r="F4" s="40"/>
      <c r="G4" s="40"/>
    </row>
    <row r="7" spans="3:10" ht="22.8" x14ac:dyDescent="0.4">
      <c r="C7" s="88" t="s">
        <v>89</v>
      </c>
      <c r="D7" s="88"/>
      <c r="E7" s="88"/>
      <c r="F7" s="88"/>
      <c r="G7" s="88"/>
    </row>
    <row r="9" spans="3:10" ht="15.6" x14ac:dyDescent="0.3">
      <c r="C9" s="30" t="s">
        <v>88</v>
      </c>
      <c r="D9" s="30" t="s">
        <v>87</v>
      </c>
      <c r="E9" s="30" t="s">
        <v>86</v>
      </c>
      <c r="F9" s="30" t="s">
        <v>85</v>
      </c>
      <c r="G9" s="30" t="s">
        <v>84</v>
      </c>
      <c r="H9" s="39"/>
      <c r="I9" s="39"/>
      <c r="J9" s="39"/>
    </row>
    <row r="10" spans="3:10" ht="15.6" x14ac:dyDescent="0.3">
      <c r="C10" s="27"/>
      <c r="D10" s="32" t="s">
        <v>83</v>
      </c>
      <c r="E10" s="32">
        <v>608150</v>
      </c>
      <c r="F10" s="32">
        <f>SUM(F11:F18)</f>
        <v>218150</v>
      </c>
      <c r="G10" s="27">
        <v>390000</v>
      </c>
      <c r="H10" s="33"/>
      <c r="I10" s="33"/>
      <c r="J10" s="33"/>
    </row>
    <row r="11" spans="3:10" ht="15.6" x14ac:dyDescent="0.3">
      <c r="C11" s="36">
        <v>1</v>
      </c>
      <c r="D11" s="36" t="s">
        <v>82</v>
      </c>
      <c r="E11" s="36">
        <v>30000</v>
      </c>
      <c r="F11" s="36">
        <v>30000</v>
      </c>
      <c r="G11" s="36"/>
      <c r="H11" s="33"/>
      <c r="I11" s="33"/>
      <c r="J11" s="33"/>
    </row>
    <row r="12" spans="3:10" ht="15.6" x14ac:dyDescent="0.3">
      <c r="C12" s="36">
        <v>2</v>
      </c>
      <c r="D12" s="36" t="s">
        <v>81</v>
      </c>
      <c r="E12" s="36">
        <v>32000</v>
      </c>
      <c r="F12" s="36">
        <v>32000</v>
      </c>
      <c r="G12" s="36"/>
      <c r="H12" s="33"/>
      <c r="I12" s="34"/>
      <c r="J12" s="33"/>
    </row>
    <row r="13" spans="3:10" ht="15.6" x14ac:dyDescent="0.3">
      <c r="C13" s="36">
        <v>3</v>
      </c>
      <c r="D13" s="36" t="s">
        <v>80</v>
      </c>
      <c r="E13" s="36">
        <v>7400</v>
      </c>
      <c r="F13" s="36">
        <v>7400</v>
      </c>
      <c r="G13" s="38"/>
    </row>
    <row r="14" spans="3:10" ht="15.6" x14ac:dyDescent="0.3">
      <c r="C14" s="36">
        <v>4</v>
      </c>
      <c r="D14" s="36" t="s">
        <v>79</v>
      </c>
      <c r="E14" s="36">
        <v>32000</v>
      </c>
      <c r="F14" s="36">
        <v>32000</v>
      </c>
      <c r="G14" s="37"/>
      <c r="H14" s="33"/>
      <c r="I14" s="34"/>
      <c r="J14" s="33"/>
    </row>
    <row r="15" spans="3:10" ht="15.6" x14ac:dyDescent="0.3">
      <c r="C15" s="36">
        <v>5</v>
      </c>
      <c r="D15" s="36" t="s">
        <v>78</v>
      </c>
      <c r="E15" s="36">
        <v>21000</v>
      </c>
      <c r="F15" s="36">
        <v>21000</v>
      </c>
      <c r="G15" s="36"/>
      <c r="H15" s="33"/>
      <c r="I15" s="34"/>
      <c r="J15" s="33"/>
    </row>
    <row r="16" spans="3:10" ht="15.6" x14ac:dyDescent="0.3">
      <c r="C16" s="36">
        <v>6</v>
      </c>
      <c r="D16" s="36" t="s">
        <v>77</v>
      </c>
      <c r="E16" s="36">
        <v>12000</v>
      </c>
      <c r="F16" s="36">
        <v>12000</v>
      </c>
      <c r="G16" s="36"/>
      <c r="H16" s="33"/>
      <c r="I16" s="33"/>
      <c r="J16" s="33"/>
    </row>
    <row r="17" spans="3:10" ht="15.6" x14ac:dyDescent="0.3">
      <c r="C17" s="36">
        <v>7</v>
      </c>
      <c r="D17" s="36" t="s">
        <v>76</v>
      </c>
      <c r="E17" s="36">
        <v>66000</v>
      </c>
      <c r="F17" s="36">
        <v>66000</v>
      </c>
      <c r="G17" s="36"/>
      <c r="H17" s="33"/>
      <c r="I17" s="33"/>
      <c r="J17" s="33"/>
    </row>
    <row r="18" spans="3:10" ht="15.6" x14ac:dyDescent="0.3">
      <c r="C18" s="36">
        <v>8</v>
      </c>
      <c r="D18" s="36" t="s">
        <v>75</v>
      </c>
      <c r="E18" s="36">
        <v>407750</v>
      </c>
      <c r="F18" s="36">
        <v>17750</v>
      </c>
      <c r="G18" s="35">
        <v>390000</v>
      </c>
      <c r="H18" s="33"/>
      <c r="I18" s="33"/>
      <c r="J18" s="33"/>
    </row>
    <row r="19" spans="3:10" ht="15.6" x14ac:dyDescent="0.3">
      <c r="C19" s="27"/>
      <c r="D19" s="32" t="s">
        <v>74</v>
      </c>
      <c r="E19" s="32">
        <v>35625</v>
      </c>
      <c r="F19" s="32">
        <v>35625</v>
      </c>
      <c r="G19" s="27"/>
      <c r="H19" s="33"/>
      <c r="I19" s="34"/>
      <c r="J19" s="33"/>
    </row>
    <row r="20" spans="3:10" ht="15.6" x14ac:dyDescent="0.3">
      <c r="C20" s="28"/>
      <c r="D20" s="32" t="s">
        <v>73</v>
      </c>
      <c r="E20" s="32">
        <v>100000</v>
      </c>
      <c r="F20" s="32">
        <v>100000</v>
      </c>
      <c r="G20" s="27"/>
      <c r="H20" s="33"/>
      <c r="I20" s="34"/>
      <c r="J20" s="33"/>
    </row>
    <row r="21" spans="3:10" ht="15.6" x14ac:dyDescent="0.3">
      <c r="C21" s="28"/>
      <c r="D21" s="32" t="s">
        <v>72</v>
      </c>
      <c r="E21" s="32">
        <v>35000</v>
      </c>
      <c r="F21" s="32">
        <v>35000</v>
      </c>
      <c r="G21" s="28"/>
    </row>
    <row r="22" spans="3:10" ht="15.6" x14ac:dyDescent="0.3">
      <c r="C22" s="31"/>
      <c r="D22" s="30" t="s">
        <v>71</v>
      </c>
      <c r="E22" s="29">
        <f>SUM(E10,E19,E20,E21)</f>
        <v>778775</v>
      </c>
      <c r="F22" s="29">
        <f>SUM(F10,F19,F20,F21)</f>
        <v>388775</v>
      </c>
      <c r="G22" s="29">
        <v>390000</v>
      </c>
    </row>
    <row r="23" spans="3:10" ht="15.6" x14ac:dyDescent="0.3">
      <c r="C23" s="28"/>
      <c r="D23" s="27" t="s">
        <v>70</v>
      </c>
      <c r="E23" s="27">
        <v>100</v>
      </c>
      <c r="F23" s="27">
        <v>50</v>
      </c>
      <c r="G23" s="27">
        <v>50</v>
      </c>
    </row>
  </sheetData>
  <mergeCells count="1">
    <mergeCell ref="C7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U17"/>
  <sheetViews>
    <sheetView topLeftCell="M5" zoomScale="143" zoomScaleNormal="143" workbookViewId="0">
      <selection activeCell="E8" sqref="E8"/>
    </sheetView>
  </sheetViews>
  <sheetFormatPr defaultRowHeight="14.4" x14ac:dyDescent="0.3"/>
  <cols>
    <col min="3" max="3" width="22.6640625" bestFit="1" customWidth="1"/>
    <col min="4" max="4" width="14.6640625" customWidth="1"/>
    <col min="5" max="5" width="19.88671875" customWidth="1"/>
    <col min="6" max="6" width="15.88671875" customWidth="1"/>
    <col min="7" max="7" width="16.88671875" customWidth="1"/>
    <col min="10" max="10" width="19.5546875" bestFit="1" customWidth="1"/>
    <col min="11" max="11" width="15.33203125" bestFit="1" customWidth="1"/>
    <col min="12" max="12" width="20.5546875" bestFit="1" customWidth="1"/>
    <col min="13" max="13" width="18.88671875" customWidth="1"/>
    <col min="14" max="14" width="19" customWidth="1"/>
    <col min="16" max="16" width="7.5546875" bestFit="1" customWidth="1"/>
    <col min="17" max="17" width="23" bestFit="1" customWidth="1"/>
    <col min="18" max="18" width="16.44140625" customWidth="1"/>
    <col min="19" max="19" width="20.5546875" bestFit="1" customWidth="1"/>
    <col min="20" max="20" width="13.6640625" customWidth="1"/>
    <col min="21" max="21" width="9.5546875" bestFit="1" customWidth="1"/>
  </cols>
  <sheetData>
    <row r="3" spans="2:21" ht="15.6" x14ac:dyDescent="0.3">
      <c r="B3" s="9"/>
      <c r="C3" s="9"/>
      <c r="D3" s="9"/>
      <c r="E3" s="9"/>
    </row>
    <row r="6" spans="2:21" ht="15.6" x14ac:dyDescent="0.3">
      <c r="B6" s="92" t="s">
        <v>57</v>
      </c>
      <c r="C6" s="92"/>
      <c r="D6" s="92"/>
      <c r="E6" s="92"/>
      <c r="F6" s="92"/>
      <c r="G6" s="92"/>
      <c r="I6" s="92" t="s">
        <v>125</v>
      </c>
      <c r="J6" s="92"/>
      <c r="K6" s="92"/>
      <c r="L6" s="92"/>
      <c r="M6" s="92"/>
      <c r="N6" s="92"/>
      <c r="P6" s="92" t="s">
        <v>128</v>
      </c>
      <c r="Q6" s="92"/>
      <c r="R6" s="92"/>
      <c r="S6" s="92"/>
      <c r="T6" s="92"/>
      <c r="U6" s="92"/>
    </row>
    <row r="7" spans="2:21" ht="15.6" x14ac:dyDescent="0.3">
      <c r="B7" s="1"/>
      <c r="C7" s="1"/>
      <c r="D7" s="1"/>
      <c r="E7" s="1"/>
      <c r="F7" s="1"/>
      <c r="G7" s="1"/>
    </row>
    <row r="8" spans="2:21" ht="43.2" customHeight="1" x14ac:dyDescent="0.3">
      <c r="B8" s="4" t="s">
        <v>0</v>
      </c>
      <c r="C8" s="4" t="s">
        <v>46</v>
      </c>
      <c r="D8" s="6" t="s">
        <v>47</v>
      </c>
      <c r="E8" s="6" t="s">
        <v>48</v>
      </c>
      <c r="F8" s="6" t="s">
        <v>1</v>
      </c>
      <c r="G8" s="6" t="s">
        <v>49</v>
      </c>
      <c r="I8" s="4" t="s">
        <v>0</v>
      </c>
      <c r="J8" s="4" t="s">
        <v>46</v>
      </c>
      <c r="K8" s="6" t="s">
        <v>47</v>
      </c>
      <c r="L8" s="6" t="s">
        <v>48</v>
      </c>
      <c r="M8" s="6" t="s">
        <v>1</v>
      </c>
      <c r="N8" s="6" t="s">
        <v>49</v>
      </c>
      <c r="P8" s="4" t="s">
        <v>0</v>
      </c>
      <c r="Q8" s="4" t="s">
        <v>46</v>
      </c>
      <c r="R8" s="6" t="s">
        <v>47</v>
      </c>
      <c r="S8" s="6" t="s">
        <v>48</v>
      </c>
      <c r="T8" s="6" t="s">
        <v>1</v>
      </c>
      <c r="U8" s="6" t="s">
        <v>49</v>
      </c>
    </row>
    <row r="9" spans="2:21" ht="15.6" x14ac:dyDescent="0.3">
      <c r="B9" s="3">
        <v>1</v>
      </c>
      <c r="C9" s="3">
        <v>2</v>
      </c>
      <c r="D9" s="3">
        <v>3</v>
      </c>
      <c r="E9" s="3">
        <v>4</v>
      </c>
      <c r="F9" s="3" t="s">
        <v>2</v>
      </c>
      <c r="G9" s="3" t="s">
        <v>3</v>
      </c>
      <c r="I9" s="3">
        <v>1</v>
      </c>
      <c r="J9" s="3">
        <v>2</v>
      </c>
      <c r="K9" s="3">
        <v>3</v>
      </c>
      <c r="L9" s="3">
        <v>4</v>
      </c>
      <c r="M9" s="3" t="s">
        <v>2</v>
      </c>
      <c r="N9" s="3" t="s">
        <v>3</v>
      </c>
      <c r="P9" s="3">
        <v>1</v>
      </c>
      <c r="Q9" s="3">
        <v>2</v>
      </c>
      <c r="R9" s="3">
        <v>3</v>
      </c>
      <c r="S9" s="3">
        <v>4</v>
      </c>
      <c r="T9" s="3" t="s">
        <v>2</v>
      </c>
      <c r="U9" s="3" t="s">
        <v>3</v>
      </c>
    </row>
    <row r="10" spans="2:21" ht="15.6" x14ac:dyDescent="0.3">
      <c r="B10" s="3">
        <v>1</v>
      </c>
      <c r="C10" s="7" t="s">
        <v>53</v>
      </c>
      <c r="D10" s="3">
        <v>1500</v>
      </c>
      <c r="E10" s="3">
        <v>30</v>
      </c>
      <c r="F10" s="3">
        <f>E10*D10</f>
        <v>45000</v>
      </c>
      <c r="G10" s="3">
        <f>12*F10</f>
        <v>540000</v>
      </c>
      <c r="I10" s="3">
        <v>1</v>
      </c>
      <c r="J10" s="7" t="s">
        <v>53</v>
      </c>
      <c r="K10" s="3">
        <v>1500</v>
      </c>
      <c r="L10" s="58">
        <f>E10+E10*0.25</f>
        <v>37.5</v>
      </c>
      <c r="M10" s="3">
        <f>L10*K10</f>
        <v>56250</v>
      </c>
      <c r="N10" s="3">
        <f>12*M10</f>
        <v>675000</v>
      </c>
      <c r="P10" s="3">
        <v>1</v>
      </c>
      <c r="Q10" s="7" t="s">
        <v>53</v>
      </c>
      <c r="R10" s="3">
        <v>1500</v>
      </c>
      <c r="S10" s="58">
        <f>L10+L10*0.25</f>
        <v>46.875</v>
      </c>
      <c r="T10" s="58">
        <f>S10*R10</f>
        <v>70312.5</v>
      </c>
      <c r="U10" s="3">
        <f>12*T10</f>
        <v>843750</v>
      </c>
    </row>
    <row r="11" spans="2:21" ht="15.6" x14ac:dyDescent="0.3">
      <c r="B11" s="3">
        <v>2</v>
      </c>
      <c r="C11" s="7" t="s">
        <v>10</v>
      </c>
      <c r="D11" s="3">
        <v>3000</v>
      </c>
      <c r="E11" s="3">
        <v>5</v>
      </c>
      <c r="F11" s="3">
        <f t="shared" ref="F11:F16" si="0">E11*D11</f>
        <v>15000</v>
      </c>
      <c r="G11" s="3">
        <f t="shared" ref="G11:G16" si="1">12*F11</f>
        <v>180000</v>
      </c>
      <c r="I11" s="3">
        <v>2</v>
      </c>
      <c r="J11" s="7" t="s">
        <v>10</v>
      </c>
      <c r="K11" s="3">
        <v>3000</v>
      </c>
      <c r="L11" s="58">
        <f t="shared" ref="L11:L16" si="2">E11+E11*0.25</f>
        <v>6.25</v>
      </c>
      <c r="M11" s="3">
        <f t="shared" ref="M11:M16" si="3">L11*K11</f>
        <v>18750</v>
      </c>
      <c r="N11" s="3">
        <f t="shared" ref="N11:N16" si="4">12*M11</f>
        <v>225000</v>
      </c>
      <c r="P11" s="3">
        <v>2</v>
      </c>
      <c r="Q11" s="7" t="s">
        <v>10</v>
      </c>
      <c r="R11" s="3">
        <v>3000</v>
      </c>
      <c r="S11" s="58">
        <f t="shared" ref="S11:S16" si="5">L11+L11*0.25</f>
        <v>7.8125</v>
      </c>
      <c r="T11" s="58">
        <f t="shared" ref="T11:T16" si="6">S11*R11</f>
        <v>23437.5</v>
      </c>
      <c r="U11" s="3">
        <f t="shared" ref="U11:U16" si="7">12*T11</f>
        <v>281250</v>
      </c>
    </row>
    <row r="12" spans="2:21" ht="15.6" x14ac:dyDescent="0.3">
      <c r="B12" s="3">
        <v>3</v>
      </c>
      <c r="C12" s="7" t="s">
        <v>6</v>
      </c>
      <c r="D12" s="3">
        <v>6000</v>
      </c>
      <c r="E12" s="3">
        <v>2</v>
      </c>
      <c r="F12" s="3">
        <f t="shared" si="0"/>
        <v>12000</v>
      </c>
      <c r="G12" s="3">
        <f t="shared" si="1"/>
        <v>144000</v>
      </c>
      <c r="I12" s="3">
        <v>3</v>
      </c>
      <c r="J12" s="7" t="s">
        <v>6</v>
      </c>
      <c r="K12" s="3">
        <v>6000</v>
      </c>
      <c r="L12" s="58">
        <f t="shared" si="2"/>
        <v>2.5</v>
      </c>
      <c r="M12" s="3">
        <f t="shared" si="3"/>
        <v>15000</v>
      </c>
      <c r="N12" s="3">
        <f t="shared" si="4"/>
        <v>180000</v>
      </c>
      <c r="P12" s="3">
        <v>3</v>
      </c>
      <c r="Q12" s="7" t="s">
        <v>6</v>
      </c>
      <c r="R12" s="3">
        <v>6000</v>
      </c>
      <c r="S12" s="58">
        <f t="shared" si="5"/>
        <v>3.125</v>
      </c>
      <c r="T12" s="58">
        <f t="shared" si="6"/>
        <v>18750</v>
      </c>
      <c r="U12" s="3">
        <f t="shared" si="7"/>
        <v>225000</v>
      </c>
    </row>
    <row r="13" spans="2:21" ht="15.6" x14ac:dyDescent="0.3">
      <c r="B13" s="3">
        <v>4</v>
      </c>
      <c r="C13" s="7" t="s">
        <v>8</v>
      </c>
      <c r="D13" s="3">
        <v>20000</v>
      </c>
      <c r="E13" s="3">
        <v>1</v>
      </c>
      <c r="F13" s="3">
        <f t="shared" si="0"/>
        <v>20000</v>
      </c>
      <c r="G13" s="3">
        <f t="shared" si="1"/>
        <v>240000</v>
      </c>
      <c r="I13" s="3">
        <v>4</v>
      </c>
      <c r="J13" s="7" t="s">
        <v>8</v>
      </c>
      <c r="K13" s="3">
        <v>20000</v>
      </c>
      <c r="L13" s="58">
        <f t="shared" si="2"/>
        <v>1.25</v>
      </c>
      <c r="M13" s="3">
        <f t="shared" si="3"/>
        <v>25000</v>
      </c>
      <c r="N13" s="3">
        <f t="shared" si="4"/>
        <v>300000</v>
      </c>
      <c r="P13" s="3">
        <v>4</v>
      </c>
      <c r="Q13" s="7" t="s">
        <v>8</v>
      </c>
      <c r="R13" s="3">
        <v>20000</v>
      </c>
      <c r="S13" s="58">
        <f t="shared" si="5"/>
        <v>1.5625</v>
      </c>
      <c r="T13" s="58">
        <f t="shared" si="6"/>
        <v>31250</v>
      </c>
      <c r="U13" s="3">
        <f t="shared" si="7"/>
        <v>375000</v>
      </c>
    </row>
    <row r="14" spans="2:21" ht="31.2" x14ac:dyDescent="0.3">
      <c r="B14" s="3">
        <v>5</v>
      </c>
      <c r="C14" s="7" t="s">
        <v>50</v>
      </c>
      <c r="D14" s="3">
        <v>6000</v>
      </c>
      <c r="E14" s="3">
        <v>7</v>
      </c>
      <c r="F14" s="3">
        <f t="shared" si="0"/>
        <v>42000</v>
      </c>
      <c r="G14" s="3">
        <f t="shared" si="1"/>
        <v>504000</v>
      </c>
      <c r="I14" s="3">
        <v>5</v>
      </c>
      <c r="J14" s="7" t="s">
        <v>50</v>
      </c>
      <c r="K14" s="3">
        <v>6000</v>
      </c>
      <c r="L14" s="58">
        <f t="shared" si="2"/>
        <v>8.75</v>
      </c>
      <c r="M14" s="3">
        <f t="shared" si="3"/>
        <v>52500</v>
      </c>
      <c r="N14" s="3">
        <f t="shared" si="4"/>
        <v>630000</v>
      </c>
      <c r="P14" s="3">
        <v>5</v>
      </c>
      <c r="Q14" s="7" t="s">
        <v>50</v>
      </c>
      <c r="R14" s="3">
        <v>6000</v>
      </c>
      <c r="S14" s="58">
        <f t="shared" si="5"/>
        <v>10.9375</v>
      </c>
      <c r="T14" s="58">
        <f t="shared" si="6"/>
        <v>65625</v>
      </c>
      <c r="U14" s="3">
        <f t="shared" si="7"/>
        <v>787500</v>
      </c>
    </row>
    <row r="15" spans="2:21" ht="37.5" customHeight="1" x14ac:dyDescent="0.3">
      <c r="B15" s="3">
        <v>6</v>
      </c>
      <c r="C15" s="7" t="s">
        <v>54</v>
      </c>
      <c r="D15" s="3">
        <v>7000</v>
      </c>
      <c r="E15" s="3">
        <v>5</v>
      </c>
      <c r="F15" s="3">
        <f t="shared" si="0"/>
        <v>35000</v>
      </c>
      <c r="G15" s="3">
        <f t="shared" si="1"/>
        <v>420000</v>
      </c>
      <c r="I15" s="3">
        <v>6</v>
      </c>
      <c r="J15" s="7" t="s">
        <v>54</v>
      </c>
      <c r="K15" s="3">
        <v>7000</v>
      </c>
      <c r="L15" s="58">
        <f t="shared" si="2"/>
        <v>6.25</v>
      </c>
      <c r="M15" s="3">
        <f t="shared" si="3"/>
        <v>43750</v>
      </c>
      <c r="N15" s="3">
        <f t="shared" si="4"/>
        <v>525000</v>
      </c>
      <c r="P15" s="3">
        <v>6</v>
      </c>
      <c r="Q15" s="7" t="s">
        <v>54</v>
      </c>
      <c r="R15" s="3">
        <v>7000</v>
      </c>
      <c r="S15" s="58">
        <f t="shared" si="5"/>
        <v>7.8125</v>
      </c>
      <c r="T15" s="58">
        <f t="shared" si="6"/>
        <v>54687.5</v>
      </c>
      <c r="U15" s="3">
        <f t="shared" si="7"/>
        <v>656250</v>
      </c>
    </row>
    <row r="16" spans="2:21" ht="15.6" x14ac:dyDescent="0.3">
      <c r="B16" s="3">
        <v>7</v>
      </c>
      <c r="C16" s="7" t="s">
        <v>56</v>
      </c>
      <c r="D16" s="3">
        <v>2000</v>
      </c>
      <c r="E16" s="3">
        <v>5</v>
      </c>
      <c r="F16" s="3">
        <f t="shared" si="0"/>
        <v>10000</v>
      </c>
      <c r="G16" s="3">
        <f t="shared" si="1"/>
        <v>120000</v>
      </c>
      <c r="I16" s="3">
        <v>7</v>
      </c>
      <c r="J16" s="7" t="s">
        <v>56</v>
      </c>
      <c r="K16" s="3">
        <v>2000</v>
      </c>
      <c r="L16" s="58">
        <f t="shared" si="2"/>
        <v>6.25</v>
      </c>
      <c r="M16" s="3">
        <f t="shared" si="3"/>
        <v>12500</v>
      </c>
      <c r="N16" s="3">
        <f t="shared" si="4"/>
        <v>150000</v>
      </c>
      <c r="P16" s="3">
        <v>7</v>
      </c>
      <c r="Q16" s="7" t="s">
        <v>56</v>
      </c>
      <c r="R16" s="3">
        <v>2000</v>
      </c>
      <c r="S16" s="58">
        <f t="shared" si="5"/>
        <v>7.8125</v>
      </c>
      <c r="T16" s="58">
        <f t="shared" si="6"/>
        <v>15625</v>
      </c>
      <c r="U16" s="3">
        <f t="shared" si="7"/>
        <v>187500</v>
      </c>
    </row>
    <row r="17" spans="2:21" ht="15.6" x14ac:dyDescent="0.3">
      <c r="B17" s="11"/>
      <c r="C17" s="70" t="s">
        <v>55</v>
      </c>
      <c r="D17" s="71"/>
      <c r="E17" s="71"/>
      <c r="F17" s="73">
        <f>SUM(F10:F16)</f>
        <v>179000</v>
      </c>
      <c r="G17" s="73">
        <f>SUM(G10:G16)</f>
        <v>2148000</v>
      </c>
      <c r="I17" s="11"/>
      <c r="J17" s="70" t="s">
        <v>55</v>
      </c>
      <c r="K17" s="71"/>
      <c r="L17" s="71"/>
      <c r="M17" s="73">
        <f>SUM(M10:M16)</f>
        <v>223750</v>
      </c>
      <c r="N17" s="73">
        <f>SUM(N10:N16)</f>
        <v>2685000</v>
      </c>
      <c r="P17" s="11"/>
      <c r="Q17" s="70" t="s">
        <v>55</v>
      </c>
      <c r="R17" s="71"/>
      <c r="S17" s="71"/>
      <c r="T17" s="72">
        <f>SUM(T10:T16)</f>
        <v>279687.5</v>
      </c>
      <c r="U17" s="73">
        <f>SUM(U10:U16)</f>
        <v>3356250</v>
      </c>
    </row>
  </sheetData>
  <mergeCells count="3">
    <mergeCell ref="B6:G6"/>
    <mergeCell ref="I6:N6"/>
    <mergeCell ref="P6:U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30"/>
  <sheetViews>
    <sheetView tabSelected="1" topLeftCell="A4" zoomScale="83" zoomScaleNormal="83" workbookViewId="0">
      <selection activeCell="G34" sqref="G34"/>
    </sheetView>
  </sheetViews>
  <sheetFormatPr defaultRowHeight="14.4" x14ac:dyDescent="0.3"/>
  <cols>
    <col min="3" max="3" width="35.109375" customWidth="1"/>
    <col min="4" max="4" width="14.6640625" customWidth="1"/>
    <col min="5" max="5" width="19.88671875" customWidth="1"/>
    <col min="6" max="6" width="15.88671875" customWidth="1"/>
    <col min="7" max="7" width="16.88671875" customWidth="1"/>
    <col min="8" max="8" width="18.77734375" customWidth="1"/>
    <col min="9" max="9" width="14.88671875" customWidth="1"/>
    <col min="10" max="10" width="19.5546875" bestFit="1" customWidth="1"/>
    <col min="11" max="11" width="25.6640625" customWidth="1"/>
    <col min="12" max="12" width="23" bestFit="1" customWidth="1"/>
    <col min="13" max="13" width="16.44140625" customWidth="1"/>
    <col min="14" max="14" width="20.5546875" bestFit="1" customWidth="1"/>
    <col min="15" max="15" width="13.6640625" customWidth="1"/>
    <col min="16" max="16" width="9.5546875" bestFit="1" customWidth="1"/>
  </cols>
  <sheetData>
    <row r="2" spans="1:11" ht="15.6" x14ac:dyDescent="0.3">
      <c r="A2" s="1"/>
      <c r="B2" s="170" t="s">
        <v>203</v>
      </c>
      <c r="C2" s="170"/>
      <c r="D2" s="170"/>
      <c r="E2" s="170"/>
      <c r="F2" s="170"/>
      <c r="G2" s="170"/>
      <c r="H2" s="170"/>
      <c r="I2" s="170"/>
      <c r="J2" s="170"/>
    </row>
    <row r="3" spans="1:11" ht="15.6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31.2" x14ac:dyDescent="0.3">
      <c r="A4" s="1"/>
      <c r="B4" s="145" t="s">
        <v>88</v>
      </c>
      <c r="C4" s="145" t="s">
        <v>87</v>
      </c>
      <c r="D4" s="145" t="s">
        <v>188</v>
      </c>
      <c r="E4" s="145" t="s">
        <v>189</v>
      </c>
      <c r="F4" s="145" t="s">
        <v>190</v>
      </c>
      <c r="G4" s="145" t="s">
        <v>191</v>
      </c>
      <c r="H4" s="145" t="s">
        <v>192</v>
      </c>
      <c r="I4" s="145" t="s">
        <v>193</v>
      </c>
      <c r="J4" s="145" t="s">
        <v>194</v>
      </c>
    </row>
    <row r="5" spans="1:11" ht="15.6" x14ac:dyDescent="0.3">
      <c r="A5" s="1"/>
      <c r="B5" s="145">
        <v>1</v>
      </c>
      <c r="C5" s="146">
        <v>2</v>
      </c>
      <c r="D5" s="147">
        <v>3</v>
      </c>
      <c r="E5" s="145">
        <v>4</v>
      </c>
      <c r="F5" s="145" t="s">
        <v>2</v>
      </c>
      <c r="G5" s="145">
        <v>6</v>
      </c>
      <c r="H5" s="145" t="s">
        <v>195</v>
      </c>
      <c r="I5" s="145" t="s">
        <v>196</v>
      </c>
      <c r="J5" s="145" t="s">
        <v>197</v>
      </c>
    </row>
    <row r="6" spans="1:11" ht="31.2" x14ac:dyDescent="0.3">
      <c r="A6" s="1"/>
      <c r="B6" s="145"/>
      <c r="C6" s="148" t="s">
        <v>198</v>
      </c>
      <c r="D6" s="149"/>
      <c r="E6" s="145"/>
      <c r="F6" s="145"/>
      <c r="G6" s="145"/>
      <c r="H6" s="145" t="s">
        <v>199</v>
      </c>
      <c r="I6" s="145"/>
      <c r="J6" s="145"/>
    </row>
    <row r="7" spans="1:11" ht="15.6" x14ac:dyDescent="0.3">
      <c r="A7" s="1"/>
      <c r="B7" s="145">
        <v>1</v>
      </c>
      <c r="C7" s="171" t="s">
        <v>82</v>
      </c>
      <c r="D7" s="172">
        <v>1</v>
      </c>
      <c r="E7" s="13">
        <v>30000</v>
      </c>
      <c r="F7" s="145">
        <f>D7*E7</f>
        <v>30000</v>
      </c>
      <c r="G7" s="145">
        <v>10</v>
      </c>
      <c r="H7" s="150">
        <f>100/G7</f>
        <v>10</v>
      </c>
      <c r="I7" s="151">
        <f t="shared" ref="I7:I14" si="0">F7*H7/100</f>
        <v>3000</v>
      </c>
      <c r="J7" s="151">
        <f t="shared" ref="J7:J14" si="1">I7/12</f>
        <v>250</v>
      </c>
      <c r="K7" t="s">
        <v>17</v>
      </c>
    </row>
    <row r="8" spans="1:11" ht="15.6" x14ac:dyDescent="0.3">
      <c r="A8" s="1"/>
      <c r="B8" s="152">
        <v>2</v>
      </c>
      <c r="C8" s="171" t="s">
        <v>81</v>
      </c>
      <c r="D8" s="172">
        <v>1</v>
      </c>
      <c r="E8" s="13">
        <v>32000</v>
      </c>
      <c r="F8" s="145">
        <f t="shared" ref="F8:F14" si="2">D8*E8</f>
        <v>32000</v>
      </c>
      <c r="G8" s="145">
        <v>10</v>
      </c>
      <c r="H8" s="154">
        <f t="shared" ref="H8:H14" si="3">100/G8</f>
        <v>10</v>
      </c>
      <c r="I8" s="153">
        <f t="shared" si="0"/>
        <v>3200</v>
      </c>
      <c r="J8" s="153">
        <f t="shared" si="1"/>
        <v>266.66666666666669</v>
      </c>
      <c r="K8" t="s">
        <v>17</v>
      </c>
    </row>
    <row r="9" spans="1:11" ht="15.6" x14ac:dyDescent="0.3">
      <c r="A9" s="1"/>
      <c r="B9" s="152">
        <v>3</v>
      </c>
      <c r="C9" s="171" t="s">
        <v>80</v>
      </c>
      <c r="D9" s="172">
        <v>1</v>
      </c>
      <c r="E9" s="13">
        <v>7400</v>
      </c>
      <c r="F9" s="145">
        <f t="shared" si="2"/>
        <v>7400</v>
      </c>
      <c r="G9" s="145">
        <v>10</v>
      </c>
      <c r="H9" s="154">
        <f t="shared" si="3"/>
        <v>10</v>
      </c>
      <c r="I9" s="153">
        <f t="shared" si="0"/>
        <v>740</v>
      </c>
      <c r="J9" s="153">
        <f t="shared" si="1"/>
        <v>61.666666666666664</v>
      </c>
      <c r="K9" t="s">
        <v>17</v>
      </c>
    </row>
    <row r="10" spans="1:11" ht="15.6" x14ac:dyDescent="0.3">
      <c r="A10" s="1"/>
      <c r="B10" s="152">
        <v>4</v>
      </c>
      <c r="C10" s="171" t="s">
        <v>79</v>
      </c>
      <c r="D10" s="172">
        <v>1</v>
      </c>
      <c r="E10" s="13">
        <v>32000</v>
      </c>
      <c r="F10" s="145">
        <f t="shared" si="2"/>
        <v>32000</v>
      </c>
      <c r="G10" s="145">
        <v>10</v>
      </c>
      <c r="H10" s="154">
        <f t="shared" si="3"/>
        <v>10</v>
      </c>
      <c r="I10" s="153">
        <f t="shared" si="0"/>
        <v>3200</v>
      </c>
      <c r="J10" s="153">
        <f t="shared" si="1"/>
        <v>266.66666666666669</v>
      </c>
      <c r="K10" t="s">
        <v>17</v>
      </c>
    </row>
    <row r="11" spans="1:11" ht="15.6" x14ac:dyDescent="0.3">
      <c r="A11" s="1"/>
      <c r="B11" s="152">
        <v>5</v>
      </c>
      <c r="C11" s="171" t="s">
        <v>78</v>
      </c>
      <c r="D11" s="172">
        <v>1</v>
      </c>
      <c r="E11" s="13">
        <v>21000</v>
      </c>
      <c r="F11" s="145">
        <f t="shared" si="2"/>
        <v>21000</v>
      </c>
      <c r="G11" s="145">
        <v>10</v>
      </c>
      <c r="H11" s="154">
        <f t="shared" si="3"/>
        <v>10</v>
      </c>
      <c r="I11" s="153">
        <f t="shared" si="0"/>
        <v>2100</v>
      </c>
      <c r="J11" s="153">
        <f t="shared" si="1"/>
        <v>175</v>
      </c>
      <c r="K11" t="s">
        <v>17</v>
      </c>
    </row>
    <row r="12" spans="1:11" ht="15.6" x14ac:dyDescent="0.3">
      <c r="A12" s="1"/>
      <c r="B12" s="152">
        <v>6</v>
      </c>
      <c r="C12" s="171" t="s">
        <v>77</v>
      </c>
      <c r="D12" s="172">
        <v>1</v>
      </c>
      <c r="E12" s="13">
        <v>12000</v>
      </c>
      <c r="F12" s="145">
        <f t="shared" si="2"/>
        <v>12000</v>
      </c>
      <c r="G12" s="145">
        <v>10</v>
      </c>
      <c r="H12" s="154">
        <f t="shared" si="3"/>
        <v>10</v>
      </c>
      <c r="I12" s="153">
        <f t="shared" si="0"/>
        <v>1200</v>
      </c>
      <c r="J12" s="153">
        <f t="shared" si="1"/>
        <v>100</v>
      </c>
      <c r="K12" t="s">
        <v>17</v>
      </c>
    </row>
    <row r="13" spans="1:11" ht="15.6" x14ac:dyDescent="0.3">
      <c r="A13" s="1"/>
      <c r="B13" s="152">
        <v>7</v>
      </c>
      <c r="C13" s="171" t="s">
        <v>76</v>
      </c>
      <c r="D13" s="172">
        <v>1</v>
      </c>
      <c r="E13" s="13">
        <v>66000</v>
      </c>
      <c r="F13" s="145">
        <f t="shared" si="2"/>
        <v>66000</v>
      </c>
      <c r="G13" s="145">
        <v>10</v>
      </c>
      <c r="H13" s="154">
        <f t="shared" si="3"/>
        <v>10</v>
      </c>
      <c r="I13" s="153">
        <f t="shared" si="0"/>
        <v>6600</v>
      </c>
      <c r="J13" s="153">
        <f t="shared" si="1"/>
        <v>550</v>
      </c>
      <c r="K13" t="s">
        <v>17</v>
      </c>
    </row>
    <row r="14" spans="1:11" ht="15.6" x14ac:dyDescent="0.3">
      <c r="A14" s="1"/>
      <c r="B14" s="152">
        <v>8</v>
      </c>
      <c r="C14" s="171" t="s">
        <v>75</v>
      </c>
      <c r="D14" s="172">
        <v>1</v>
      </c>
      <c r="E14" s="13">
        <v>407750</v>
      </c>
      <c r="F14" s="145">
        <f t="shared" si="2"/>
        <v>407750</v>
      </c>
      <c r="G14" s="145">
        <v>10</v>
      </c>
      <c r="H14" s="154">
        <f t="shared" si="3"/>
        <v>10</v>
      </c>
      <c r="I14" s="153">
        <f t="shared" si="0"/>
        <v>40775</v>
      </c>
      <c r="J14" s="153">
        <f t="shared" si="1"/>
        <v>3397.9166666666665</v>
      </c>
      <c r="K14" t="s">
        <v>17</v>
      </c>
    </row>
    <row r="15" spans="1:11" ht="18" customHeight="1" x14ac:dyDescent="0.3">
      <c r="A15" s="1"/>
      <c r="B15" s="152"/>
      <c r="C15" s="148" t="s">
        <v>200</v>
      </c>
      <c r="D15" s="155"/>
      <c r="E15" s="155"/>
      <c r="F15" s="155"/>
      <c r="G15" s="155"/>
      <c r="H15" s="155"/>
      <c r="I15" s="155"/>
      <c r="J15" s="149"/>
    </row>
    <row r="16" spans="1:11" ht="15.6" x14ac:dyDescent="0.3">
      <c r="A16" s="1"/>
      <c r="B16" s="156">
        <v>1</v>
      </c>
      <c r="C16" s="157"/>
      <c r="D16" s="156"/>
      <c r="E16" s="156"/>
      <c r="F16" s="156">
        <f>D16*E16</f>
        <v>0</v>
      </c>
      <c r="G16" s="156"/>
      <c r="H16" s="158"/>
      <c r="I16" s="159">
        <f>F16*H16/100</f>
        <v>0</v>
      </c>
      <c r="J16" s="159">
        <f>I16/12</f>
        <v>0</v>
      </c>
    </row>
    <row r="17" spans="1:10" ht="15.6" x14ac:dyDescent="0.3">
      <c r="A17" s="1"/>
      <c r="B17" s="152">
        <v>2</v>
      </c>
      <c r="C17" s="160"/>
      <c r="D17" s="152"/>
      <c r="E17" s="152"/>
      <c r="F17" s="152">
        <f>E17*D17</f>
        <v>0</v>
      </c>
      <c r="G17" s="152"/>
      <c r="H17" s="152"/>
      <c r="I17" s="153">
        <f>F17*H17/100</f>
        <v>0</v>
      </c>
      <c r="J17" s="153">
        <f>I17/12</f>
        <v>0</v>
      </c>
    </row>
    <row r="18" spans="1:10" ht="15.6" x14ac:dyDescent="0.3">
      <c r="A18" s="1"/>
      <c r="B18" s="145"/>
      <c r="C18" s="161" t="s">
        <v>172</v>
      </c>
      <c r="D18" s="162"/>
      <c r="E18" s="162"/>
      <c r="F18" s="163">
        <f>F7+F8+F9+F10+F11+F12+F13+F14+F16+F17</f>
        <v>608150</v>
      </c>
      <c r="G18" s="145"/>
      <c r="H18" s="145"/>
      <c r="I18" s="163">
        <f t="shared" ref="I18:J18" si="4">I7+I8+I9+I10+I11+I12+I13+I14+I16+I17</f>
        <v>60815</v>
      </c>
      <c r="J18" s="163">
        <f t="shared" si="4"/>
        <v>5067.9166666666661</v>
      </c>
    </row>
    <row r="19" spans="1:10" ht="15.6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6" x14ac:dyDescent="0.3">
      <c r="A20" s="164" t="s">
        <v>201</v>
      </c>
      <c r="B20" s="164"/>
      <c r="C20" s="164"/>
      <c r="D20" s="164"/>
      <c r="E20" s="164"/>
      <c r="F20" s="164"/>
      <c r="G20" s="1"/>
      <c r="H20" s="1"/>
      <c r="I20" s="1"/>
      <c r="J20" s="1"/>
    </row>
    <row r="21" spans="1:10" ht="31.2" x14ac:dyDescent="0.3">
      <c r="A21" s="1"/>
      <c r="B21" s="145" t="s">
        <v>88</v>
      </c>
      <c r="C21" s="145" t="s">
        <v>87</v>
      </c>
      <c r="D21" s="145" t="s">
        <v>188</v>
      </c>
      <c r="E21" s="145" t="s">
        <v>189</v>
      </c>
      <c r="F21" s="145" t="s">
        <v>190</v>
      </c>
      <c r="G21" s="1"/>
      <c r="H21" s="1"/>
      <c r="I21" s="1"/>
      <c r="J21" s="1"/>
    </row>
    <row r="22" spans="1:10" ht="15.6" x14ac:dyDescent="0.3">
      <c r="A22" s="1"/>
      <c r="B22" s="165">
        <v>1</v>
      </c>
      <c r="C22" s="171" t="s">
        <v>204</v>
      </c>
      <c r="D22" s="13">
        <v>2</v>
      </c>
      <c r="E22" s="13">
        <v>3200</v>
      </c>
      <c r="F22" s="176">
        <f>D22*E22</f>
        <v>6400</v>
      </c>
      <c r="G22" t="s">
        <v>17</v>
      </c>
      <c r="H22" s="1"/>
      <c r="I22" s="1"/>
      <c r="J22" s="1"/>
    </row>
    <row r="23" spans="1:10" ht="15.6" x14ac:dyDescent="0.3">
      <c r="A23" s="1"/>
      <c r="B23" s="165">
        <v>2</v>
      </c>
      <c r="C23" s="171" t="s">
        <v>205</v>
      </c>
      <c r="D23" s="13">
        <v>1</v>
      </c>
      <c r="E23" s="13">
        <v>200</v>
      </c>
      <c r="F23" s="176">
        <f t="shared" ref="F23:F29" si="5">D23*E23</f>
        <v>200</v>
      </c>
      <c r="G23" t="s">
        <v>17</v>
      </c>
      <c r="H23" s="1"/>
      <c r="I23" s="1"/>
      <c r="J23" s="1"/>
    </row>
    <row r="24" spans="1:10" ht="15.6" x14ac:dyDescent="0.3">
      <c r="A24" s="1"/>
      <c r="B24" s="165">
        <v>3</v>
      </c>
      <c r="C24" s="171" t="s">
        <v>206</v>
      </c>
      <c r="D24" s="13">
        <v>1</v>
      </c>
      <c r="E24" s="13">
        <v>1200</v>
      </c>
      <c r="F24" s="176">
        <f t="shared" si="5"/>
        <v>1200</v>
      </c>
      <c r="G24" t="s">
        <v>17</v>
      </c>
      <c r="H24" s="1"/>
      <c r="I24" s="1"/>
      <c r="J24" s="1"/>
    </row>
    <row r="25" spans="1:10" ht="15.6" x14ac:dyDescent="0.3">
      <c r="A25" s="1"/>
      <c r="B25" s="165">
        <v>4</v>
      </c>
      <c r="C25" s="171" t="s">
        <v>207</v>
      </c>
      <c r="D25" s="13">
        <v>1</v>
      </c>
      <c r="E25" s="13">
        <v>3325</v>
      </c>
      <c r="F25" s="176">
        <f t="shared" si="5"/>
        <v>3325</v>
      </c>
      <c r="G25" t="s">
        <v>17</v>
      </c>
      <c r="H25" s="1"/>
      <c r="I25" s="1"/>
      <c r="J25" s="1"/>
    </row>
    <row r="26" spans="1:10" ht="15.6" x14ac:dyDescent="0.3">
      <c r="A26" s="1"/>
      <c r="B26" s="165">
        <v>5</v>
      </c>
      <c r="C26" s="171" t="s">
        <v>208</v>
      </c>
      <c r="D26" s="13">
        <v>1</v>
      </c>
      <c r="E26" s="13">
        <v>4200</v>
      </c>
      <c r="F26" s="176">
        <f t="shared" si="5"/>
        <v>4200</v>
      </c>
      <c r="G26" t="s">
        <v>17</v>
      </c>
      <c r="H26" s="1"/>
      <c r="I26" s="1"/>
      <c r="J26" s="1"/>
    </row>
    <row r="27" spans="1:10" ht="15.6" x14ac:dyDescent="0.3">
      <c r="A27" s="1"/>
      <c r="B27" s="165">
        <v>6</v>
      </c>
      <c r="C27" s="171" t="s">
        <v>209</v>
      </c>
      <c r="D27" s="13">
        <v>1</v>
      </c>
      <c r="E27" s="13">
        <v>5600</v>
      </c>
      <c r="F27" s="176">
        <f t="shared" si="5"/>
        <v>5600</v>
      </c>
      <c r="G27" t="s">
        <v>17</v>
      </c>
      <c r="H27" s="1"/>
      <c r="I27" s="1"/>
      <c r="J27" s="1"/>
    </row>
    <row r="28" spans="1:10" ht="15.6" x14ac:dyDescent="0.3">
      <c r="A28" s="1"/>
      <c r="B28" s="166">
        <v>7</v>
      </c>
      <c r="C28" s="171" t="s">
        <v>210</v>
      </c>
      <c r="D28" s="13">
        <v>1</v>
      </c>
      <c r="E28" s="13">
        <v>2700</v>
      </c>
      <c r="F28" s="176">
        <f t="shared" si="5"/>
        <v>2700</v>
      </c>
      <c r="G28" t="s">
        <v>17</v>
      </c>
      <c r="H28" s="1"/>
      <c r="I28" s="1"/>
      <c r="J28" s="1"/>
    </row>
    <row r="29" spans="1:10" ht="15.6" x14ac:dyDescent="0.3">
      <c r="A29" s="1"/>
      <c r="B29" s="166">
        <v>8</v>
      </c>
      <c r="C29" s="171" t="s">
        <v>211</v>
      </c>
      <c r="D29" s="13">
        <v>3</v>
      </c>
      <c r="E29" s="13">
        <v>4000</v>
      </c>
      <c r="F29" s="176">
        <f t="shared" si="5"/>
        <v>12000</v>
      </c>
      <c r="G29" t="s">
        <v>17</v>
      </c>
      <c r="H29" s="1"/>
      <c r="I29" s="1"/>
      <c r="J29" s="1"/>
    </row>
    <row r="30" spans="1:10" ht="15.6" x14ac:dyDescent="0.3">
      <c r="A30" s="1"/>
      <c r="B30" s="167"/>
      <c r="C30" s="175" t="s">
        <v>172</v>
      </c>
      <c r="D30" s="175"/>
      <c r="E30" s="175"/>
      <c r="F30" s="177">
        <f>F22+F23+F24+F25+F26+F27+F28+F29</f>
        <v>35625</v>
      </c>
      <c r="G30" s="168" t="s">
        <v>202</v>
      </c>
      <c r="H30" s="169"/>
      <c r="I30" s="169"/>
      <c r="J30" s="169"/>
    </row>
  </sheetData>
  <mergeCells count="5">
    <mergeCell ref="B2:J2"/>
    <mergeCell ref="C6:D6"/>
    <mergeCell ref="A20:F20"/>
    <mergeCell ref="G30:J30"/>
    <mergeCell ref="C15:J1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I39"/>
  <sheetViews>
    <sheetView topLeftCell="A20" zoomScale="90" zoomScaleNormal="90" workbookViewId="0">
      <selection activeCell="F47" sqref="F47"/>
    </sheetView>
  </sheetViews>
  <sheetFormatPr defaultRowHeight="14.4" x14ac:dyDescent="0.3"/>
  <cols>
    <col min="2" max="2" width="20.109375" customWidth="1"/>
    <col min="3" max="3" width="22.6640625" bestFit="1" customWidth="1"/>
    <col min="4" max="4" width="14.6640625" customWidth="1"/>
    <col min="5" max="5" width="19.88671875" customWidth="1"/>
    <col min="6" max="6" width="15.88671875" customWidth="1"/>
    <col min="7" max="7" width="16.88671875" customWidth="1"/>
    <col min="8" max="8" width="17.5546875" customWidth="1"/>
    <col min="10" max="10" width="19.5546875" bestFit="1" customWidth="1"/>
    <col min="11" max="11" width="15.33203125" bestFit="1" customWidth="1"/>
    <col min="12" max="12" width="20.5546875" bestFit="1" customWidth="1"/>
    <col min="13" max="13" width="18.88671875" customWidth="1"/>
    <col min="14" max="14" width="19" customWidth="1"/>
    <col min="16" max="16" width="7.5546875" bestFit="1" customWidth="1"/>
    <col min="17" max="17" width="23" bestFit="1" customWidth="1"/>
    <col min="18" max="18" width="16.44140625" customWidth="1"/>
    <col min="19" max="19" width="20.5546875" bestFit="1" customWidth="1"/>
    <col min="20" max="20" width="13.6640625" customWidth="1"/>
    <col min="21" max="21" width="9.5546875" bestFit="1" customWidth="1"/>
  </cols>
  <sheetData>
    <row r="2" spans="1:9" ht="16.8" x14ac:dyDescent="0.3">
      <c r="A2" s="109"/>
      <c r="B2" s="109"/>
      <c r="C2" s="109"/>
      <c r="D2" s="109"/>
      <c r="E2" s="109"/>
      <c r="F2" s="110" t="s">
        <v>144</v>
      </c>
      <c r="G2" s="110"/>
      <c r="H2" s="110"/>
      <c r="I2" s="109"/>
    </row>
    <row r="3" spans="1:9" ht="16.8" x14ac:dyDescent="0.3">
      <c r="A3" s="111" t="s">
        <v>145</v>
      </c>
      <c r="B3" s="111"/>
      <c r="C3" s="111"/>
      <c r="D3" s="111"/>
      <c r="E3" s="111"/>
      <c r="F3" s="111"/>
      <c r="G3" s="111"/>
      <c r="H3" s="111"/>
      <c r="I3" s="109"/>
    </row>
    <row r="4" spans="1:9" ht="16.8" x14ac:dyDescent="0.3">
      <c r="A4" s="109"/>
      <c r="B4" s="109"/>
      <c r="C4" s="109"/>
      <c r="D4" s="109"/>
      <c r="E4" s="109"/>
      <c r="F4" s="109"/>
      <c r="G4" s="112" t="s">
        <v>146</v>
      </c>
      <c r="H4" s="112"/>
      <c r="I4" s="109"/>
    </row>
    <row r="5" spans="1:9" ht="151.19999999999999" x14ac:dyDescent="0.3">
      <c r="A5" s="113" t="s">
        <v>147</v>
      </c>
      <c r="B5" s="113" t="s">
        <v>148</v>
      </c>
      <c r="C5" s="114" t="s">
        <v>149</v>
      </c>
      <c r="D5" s="114" t="s">
        <v>150</v>
      </c>
      <c r="E5" s="114" t="s">
        <v>151</v>
      </c>
      <c r="F5" s="114" t="s">
        <v>152</v>
      </c>
      <c r="G5" s="114" t="s">
        <v>153</v>
      </c>
      <c r="H5" s="114" t="s">
        <v>154</v>
      </c>
      <c r="I5" s="115"/>
    </row>
    <row r="6" spans="1:9" ht="16.8" x14ac:dyDescent="0.3">
      <c r="A6" s="113">
        <v>1</v>
      </c>
      <c r="B6" s="113">
        <v>2</v>
      </c>
      <c r="C6" s="114">
        <v>3</v>
      </c>
      <c r="D6" s="114">
        <v>4</v>
      </c>
      <c r="E6" s="114" t="s">
        <v>2</v>
      </c>
      <c r="F6" s="114" t="s">
        <v>155</v>
      </c>
      <c r="G6" s="114" t="s">
        <v>156</v>
      </c>
      <c r="H6" s="113" t="s">
        <v>157</v>
      </c>
      <c r="I6" s="115"/>
    </row>
    <row r="7" spans="1:9" ht="16.8" x14ac:dyDescent="0.3">
      <c r="A7" s="140" t="s">
        <v>184</v>
      </c>
      <c r="B7" s="141"/>
      <c r="C7" s="141"/>
      <c r="D7" s="141"/>
      <c r="E7" s="141"/>
      <c r="F7" s="141"/>
      <c r="G7" s="141"/>
      <c r="H7" s="142"/>
      <c r="I7" s="115"/>
    </row>
    <row r="8" spans="1:9" ht="16.8" x14ac:dyDescent="0.3">
      <c r="A8" s="116">
        <v>1</v>
      </c>
      <c r="B8" s="116" t="s">
        <v>158</v>
      </c>
      <c r="C8" s="117">
        <v>1</v>
      </c>
      <c r="D8" s="117">
        <v>10000</v>
      </c>
      <c r="E8" s="117">
        <f t="shared" ref="E8:E16" si="0">C8*D8</f>
        <v>10000</v>
      </c>
      <c r="F8" s="117">
        <f t="shared" ref="F8:F16" si="1">E8*24%</f>
        <v>2400</v>
      </c>
      <c r="G8" s="118">
        <f t="shared" ref="G8:G16" si="2">E8+F8</f>
        <v>12400</v>
      </c>
      <c r="H8" s="117">
        <f>G8*12</f>
        <v>148800</v>
      </c>
      <c r="I8" s="109" t="s">
        <v>159</v>
      </c>
    </row>
    <row r="9" spans="1:9" ht="16.8" x14ac:dyDescent="0.3">
      <c r="A9" s="116">
        <v>2</v>
      </c>
      <c r="B9" s="116" t="s">
        <v>160</v>
      </c>
      <c r="C9" s="117">
        <v>2</v>
      </c>
      <c r="D9" s="117">
        <v>10000</v>
      </c>
      <c r="E9" s="117">
        <f t="shared" si="0"/>
        <v>20000</v>
      </c>
      <c r="F9" s="117">
        <f t="shared" si="1"/>
        <v>4800</v>
      </c>
      <c r="G9" s="118">
        <f t="shared" si="2"/>
        <v>24800</v>
      </c>
      <c r="H9" s="117">
        <f t="shared" ref="H9:H16" si="3">G9*12</f>
        <v>297600</v>
      </c>
      <c r="I9" s="109" t="s">
        <v>161</v>
      </c>
    </row>
    <row r="10" spans="1:9" ht="16.8" x14ac:dyDescent="0.3">
      <c r="A10" s="116">
        <v>3</v>
      </c>
      <c r="B10" s="116" t="s">
        <v>162</v>
      </c>
      <c r="C10" s="117">
        <v>1</v>
      </c>
      <c r="D10" s="117">
        <v>5000</v>
      </c>
      <c r="E10" s="117">
        <f>C10*D10</f>
        <v>5000</v>
      </c>
      <c r="F10" s="117">
        <f>E10*24%</f>
        <v>1200</v>
      </c>
      <c r="G10" s="117">
        <f>E10+F10</f>
        <v>6200</v>
      </c>
      <c r="H10" s="117">
        <f>G10*12</f>
        <v>74400</v>
      </c>
      <c r="I10" s="109" t="s">
        <v>161</v>
      </c>
    </row>
    <row r="11" spans="1:9" ht="16.8" x14ac:dyDescent="0.3">
      <c r="A11" s="119"/>
      <c r="B11" s="119" t="s">
        <v>163</v>
      </c>
      <c r="C11" s="120">
        <f>C8+C9+C10</f>
        <v>4</v>
      </c>
      <c r="D11" s="120"/>
      <c r="E11" s="120">
        <f t="shared" ref="E11:H11" si="4">E8+E9+E10</f>
        <v>35000</v>
      </c>
      <c r="F11" s="120">
        <f t="shared" si="4"/>
        <v>8400</v>
      </c>
      <c r="G11" s="120">
        <f t="shared" si="4"/>
        <v>43400</v>
      </c>
      <c r="H11" s="120">
        <f t="shared" si="4"/>
        <v>520800</v>
      </c>
      <c r="I11" s="109"/>
    </row>
    <row r="12" spans="1:9" ht="16.8" x14ac:dyDescent="0.3">
      <c r="A12" s="140" t="s">
        <v>185</v>
      </c>
      <c r="B12" s="141"/>
      <c r="C12" s="141"/>
      <c r="D12" s="141"/>
      <c r="E12" s="141"/>
      <c r="F12" s="141"/>
      <c r="G12" s="141"/>
      <c r="H12" s="142"/>
      <c r="I12" s="109"/>
    </row>
    <row r="13" spans="1:9" ht="16.8" x14ac:dyDescent="0.3">
      <c r="A13" s="116">
        <v>4</v>
      </c>
      <c r="B13" s="116" t="s">
        <v>164</v>
      </c>
      <c r="C13" s="117">
        <v>2</v>
      </c>
      <c r="D13" s="117">
        <v>7000</v>
      </c>
      <c r="E13" s="117">
        <f t="shared" si="0"/>
        <v>14000</v>
      </c>
      <c r="F13" s="117">
        <f t="shared" si="1"/>
        <v>3360</v>
      </c>
      <c r="G13" s="118">
        <f t="shared" si="2"/>
        <v>17360</v>
      </c>
      <c r="H13" s="117">
        <f t="shared" si="3"/>
        <v>208320</v>
      </c>
      <c r="I13" s="109" t="s">
        <v>165</v>
      </c>
    </row>
    <row r="14" spans="1:9" ht="16.8" x14ac:dyDescent="0.3">
      <c r="A14" s="116">
        <v>5</v>
      </c>
      <c r="B14" s="116" t="s">
        <v>166</v>
      </c>
      <c r="C14" s="117">
        <v>1</v>
      </c>
      <c r="D14" s="117">
        <v>9500</v>
      </c>
      <c r="E14" s="117">
        <f t="shared" si="0"/>
        <v>9500</v>
      </c>
      <c r="F14" s="117">
        <f t="shared" si="1"/>
        <v>2280</v>
      </c>
      <c r="G14" s="118">
        <f t="shared" si="2"/>
        <v>11780</v>
      </c>
      <c r="H14" s="117">
        <f t="shared" si="3"/>
        <v>141360</v>
      </c>
      <c r="I14" s="109" t="s">
        <v>165</v>
      </c>
    </row>
    <row r="15" spans="1:9" ht="16.8" x14ac:dyDescent="0.3">
      <c r="A15" s="116">
        <v>6</v>
      </c>
      <c r="B15" s="116" t="s">
        <v>167</v>
      </c>
      <c r="C15" s="117">
        <v>1</v>
      </c>
      <c r="D15" s="117">
        <v>9500</v>
      </c>
      <c r="E15" s="117">
        <f t="shared" si="0"/>
        <v>9500</v>
      </c>
      <c r="F15" s="117">
        <f t="shared" si="1"/>
        <v>2280</v>
      </c>
      <c r="G15" s="117">
        <f t="shared" si="2"/>
        <v>11780</v>
      </c>
      <c r="H15" s="117">
        <f t="shared" si="3"/>
        <v>141360</v>
      </c>
      <c r="I15" s="109" t="s">
        <v>165</v>
      </c>
    </row>
    <row r="16" spans="1:9" ht="16.8" x14ac:dyDescent="0.3">
      <c r="A16" s="116">
        <v>7</v>
      </c>
      <c r="B16" s="116" t="s">
        <v>168</v>
      </c>
      <c r="C16" s="117">
        <v>2</v>
      </c>
      <c r="D16" s="117">
        <v>9000</v>
      </c>
      <c r="E16" s="117">
        <f t="shared" si="0"/>
        <v>18000</v>
      </c>
      <c r="F16" s="117">
        <f t="shared" si="1"/>
        <v>4320</v>
      </c>
      <c r="G16" s="117">
        <f t="shared" si="2"/>
        <v>22320</v>
      </c>
      <c r="H16" s="117">
        <f t="shared" si="3"/>
        <v>267840</v>
      </c>
      <c r="I16" s="109" t="s">
        <v>165</v>
      </c>
    </row>
    <row r="17" spans="1:9" ht="31.2" x14ac:dyDescent="0.3">
      <c r="A17" s="121"/>
      <c r="B17" s="122" t="s">
        <v>169</v>
      </c>
      <c r="C17" s="123">
        <f>C13+C14+C15+C16</f>
        <v>6</v>
      </c>
      <c r="D17" s="123"/>
      <c r="E17" s="123">
        <f>E13+E14+E15+E16</f>
        <v>51000</v>
      </c>
      <c r="F17" s="123">
        <f t="shared" ref="F17:H17" si="5">F13+F14+F15+F16</f>
        <v>12240</v>
      </c>
      <c r="G17" s="123">
        <f t="shared" si="5"/>
        <v>63240</v>
      </c>
      <c r="H17" s="123">
        <f t="shared" si="5"/>
        <v>758880</v>
      </c>
    </row>
    <row r="18" spans="1:9" ht="16.8" x14ac:dyDescent="0.3">
      <c r="A18" s="140" t="s">
        <v>186</v>
      </c>
      <c r="B18" s="141"/>
      <c r="C18" s="141"/>
      <c r="D18" s="141"/>
      <c r="E18" s="141"/>
      <c r="F18" s="141"/>
      <c r="G18" s="141"/>
      <c r="H18" s="142"/>
    </row>
    <row r="19" spans="1:9" ht="16.8" x14ac:dyDescent="0.3">
      <c r="A19" s="143"/>
      <c r="B19" s="116"/>
      <c r="C19" s="117"/>
      <c r="D19" s="117"/>
      <c r="E19" s="117"/>
      <c r="F19" s="117"/>
      <c r="G19" s="118"/>
      <c r="H19" s="117"/>
      <c r="I19" s="109" t="s">
        <v>170</v>
      </c>
    </row>
    <row r="20" spans="1:9" ht="15.6" customHeight="1" x14ac:dyDescent="0.3">
      <c r="A20" s="143"/>
      <c r="B20" s="124"/>
      <c r="C20" s="117"/>
      <c r="D20" s="117"/>
      <c r="E20" s="117"/>
      <c r="F20" s="117"/>
      <c r="G20" s="118"/>
      <c r="H20" s="117"/>
      <c r="I20" s="109" t="s">
        <v>170</v>
      </c>
    </row>
    <row r="21" spans="1:9" ht="16.8" x14ac:dyDescent="0.3">
      <c r="A21" s="143"/>
      <c r="B21" s="116"/>
      <c r="C21" s="117"/>
      <c r="D21" s="117"/>
      <c r="E21" s="117"/>
      <c r="F21" s="117"/>
      <c r="G21" s="117"/>
      <c r="H21" s="117"/>
      <c r="I21" s="109" t="s">
        <v>170</v>
      </c>
    </row>
    <row r="22" spans="1:9" ht="31.2" x14ac:dyDescent="0.3">
      <c r="A22" s="121"/>
      <c r="B22" s="122" t="s">
        <v>171</v>
      </c>
      <c r="C22" s="123">
        <f>C19+C20+C21</f>
        <v>0</v>
      </c>
      <c r="D22" s="123"/>
      <c r="E22" s="123"/>
      <c r="F22" s="123"/>
      <c r="G22" s="123"/>
      <c r="H22" s="123"/>
      <c r="I22" s="109"/>
    </row>
    <row r="23" spans="1:9" ht="16.8" x14ac:dyDescent="0.3">
      <c r="A23" s="125"/>
      <c r="B23" s="125" t="s">
        <v>172</v>
      </c>
      <c r="C23" s="126">
        <f>C11+C17+C22</f>
        <v>10</v>
      </c>
      <c r="D23" s="126"/>
      <c r="E23" s="127">
        <f>E11+E17</f>
        <v>86000</v>
      </c>
      <c r="F23" s="127">
        <f t="shared" ref="F23:H23" si="6">F11+F17</f>
        <v>20640</v>
      </c>
      <c r="G23" s="127">
        <f t="shared" si="6"/>
        <v>106640</v>
      </c>
      <c r="H23" s="127">
        <f t="shared" si="6"/>
        <v>1279680</v>
      </c>
      <c r="I23" s="109"/>
    </row>
    <row r="24" spans="1:9" ht="16.8" x14ac:dyDescent="0.3">
      <c r="A24" s="128"/>
      <c r="B24" s="128"/>
      <c r="C24" s="129"/>
      <c r="D24" s="129"/>
      <c r="E24" s="130"/>
      <c r="F24" s="130"/>
      <c r="G24" s="130"/>
      <c r="H24" s="130"/>
      <c r="I24" s="109"/>
    </row>
    <row r="25" spans="1:9" ht="16.8" x14ac:dyDescent="0.3">
      <c r="A25" s="131"/>
      <c r="B25" s="131"/>
      <c r="C25" s="118"/>
      <c r="D25" s="132"/>
      <c r="E25" s="132"/>
      <c r="F25" s="133"/>
      <c r="G25" s="133"/>
      <c r="H25" s="133"/>
      <c r="I25" s="109"/>
    </row>
    <row r="26" spans="1:9" ht="16.8" x14ac:dyDescent="0.3">
      <c r="A26" s="131"/>
      <c r="B26" s="131"/>
      <c r="C26" s="118"/>
      <c r="D26" s="118"/>
      <c r="E26" s="118"/>
      <c r="F26" s="133"/>
      <c r="G26" s="133"/>
      <c r="H26" s="133"/>
      <c r="I26" s="109"/>
    </row>
    <row r="27" spans="1:9" ht="16.8" x14ac:dyDescent="0.3">
      <c r="A27" s="131"/>
      <c r="B27" s="131"/>
      <c r="C27" s="118"/>
      <c r="D27" s="118"/>
      <c r="E27" s="133"/>
      <c r="F27" s="133"/>
      <c r="G27" s="133"/>
      <c r="H27" s="133"/>
      <c r="I27" s="109"/>
    </row>
    <row r="28" spans="1:9" ht="16.8" x14ac:dyDescent="0.3">
      <c r="A28" s="134" t="s">
        <v>173</v>
      </c>
      <c r="B28" s="134"/>
      <c r="C28" s="116"/>
      <c r="D28" s="116"/>
      <c r="E28" s="116"/>
      <c r="F28" s="116"/>
      <c r="G28" s="116"/>
      <c r="H28" s="116"/>
      <c r="I28" s="109"/>
    </row>
    <row r="29" spans="1:9" ht="67.2" x14ac:dyDescent="0.3">
      <c r="A29" s="135" t="s">
        <v>147</v>
      </c>
      <c r="B29" s="135" t="s">
        <v>148</v>
      </c>
      <c r="C29" s="136" t="s">
        <v>174</v>
      </c>
      <c r="D29" s="137" t="s">
        <v>175</v>
      </c>
      <c r="E29" s="136" t="s">
        <v>176</v>
      </c>
      <c r="F29" s="137" t="s">
        <v>177</v>
      </c>
      <c r="G29" s="136" t="s">
        <v>178</v>
      </c>
      <c r="H29" s="135" t="s">
        <v>179</v>
      </c>
      <c r="I29" s="109"/>
    </row>
    <row r="30" spans="1:9" ht="16.8" x14ac:dyDescent="0.3">
      <c r="A30" s="113">
        <v>1</v>
      </c>
      <c r="B30" s="113">
        <v>2</v>
      </c>
      <c r="C30" s="114">
        <v>3</v>
      </c>
      <c r="D30" s="138" t="s">
        <v>180</v>
      </c>
      <c r="E30" s="114">
        <v>5</v>
      </c>
      <c r="F30" s="138" t="s">
        <v>181</v>
      </c>
      <c r="G30" s="114" t="s">
        <v>182</v>
      </c>
      <c r="H30" s="113" t="s">
        <v>183</v>
      </c>
      <c r="I30" s="109"/>
    </row>
    <row r="31" spans="1:9" ht="16.8" x14ac:dyDescent="0.3">
      <c r="A31" s="116">
        <v>1</v>
      </c>
      <c r="B31" s="116" t="s">
        <v>158</v>
      </c>
      <c r="C31" s="117">
        <f>D8</f>
        <v>10000</v>
      </c>
      <c r="D31" s="139">
        <f>C31*9%</f>
        <v>900</v>
      </c>
      <c r="E31" s="117">
        <v>2475</v>
      </c>
      <c r="F31" s="139">
        <f>G31*12%</f>
        <v>795</v>
      </c>
      <c r="G31" s="117">
        <f>(C31-D31-E31)</f>
        <v>6625</v>
      </c>
      <c r="H31" s="118">
        <f>C31-D31-F31</f>
        <v>8305</v>
      </c>
      <c r="I31" s="109"/>
    </row>
    <row r="32" spans="1:9" ht="16.8" x14ac:dyDescent="0.3">
      <c r="A32" s="116">
        <v>2</v>
      </c>
      <c r="B32" s="116" t="s">
        <v>160</v>
      </c>
      <c r="C32" s="117">
        <f>D9</f>
        <v>10000</v>
      </c>
      <c r="D32" s="139">
        <f t="shared" ref="D32:D37" si="7">C32*9%</f>
        <v>900</v>
      </c>
      <c r="E32" s="117">
        <v>2475</v>
      </c>
      <c r="F32" s="139">
        <f t="shared" ref="F32:F37" si="8">G32*12%</f>
        <v>795</v>
      </c>
      <c r="G32" s="117">
        <f t="shared" ref="G32:G37" si="9">(C32-D32-E32)</f>
        <v>6625</v>
      </c>
      <c r="H32" s="118">
        <f t="shared" ref="H32:H37" si="10">C32-D32-F32</f>
        <v>8305</v>
      </c>
      <c r="I32" s="109"/>
    </row>
    <row r="33" spans="1:9" ht="16.8" x14ac:dyDescent="0.3">
      <c r="A33" s="116">
        <v>3</v>
      </c>
      <c r="B33" s="116" t="s">
        <v>164</v>
      </c>
      <c r="C33" s="117">
        <f>D13</f>
        <v>7000</v>
      </c>
      <c r="D33" s="139">
        <f t="shared" si="7"/>
        <v>630</v>
      </c>
      <c r="E33" s="117">
        <v>2475</v>
      </c>
      <c r="F33" s="139">
        <f t="shared" si="8"/>
        <v>467.4</v>
      </c>
      <c r="G33" s="117">
        <f t="shared" si="9"/>
        <v>3895</v>
      </c>
      <c r="H33" s="118">
        <f t="shared" si="10"/>
        <v>5902.6</v>
      </c>
      <c r="I33" s="109"/>
    </row>
    <row r="34" spans="1:9" ht="16.8" x14ac:dyDescent="0.3">
      <c r="A34" s="116">
        <v>4</v>
      </c>
      <c r="B34" s="116" t="s">
        <v>166</v>
      </c>
      <c r="C34" s="117">
        <f>D14</f>
        <v>9500</v>
      </c>
      <c r="D34" s="139">
        <f t="shared" si="7"/>
        <v>855</v>
      </c>
      <c r="E34" s="117">
        <v>2475</v>
      </c>
      <c r="F34" s="139">
        <f t="shared" si="8"/>
        <v>740.4</v>
      </c>
      <c r="G34" s="117">
        <f t="shared" si="9"/>
        <v>6170</v>
      </c>
      <c r="H34" s="118">
        <f t="shared" si="10"/>
        <v>7904.6</v>
      </c>
      <c r="I34" s="109"/>
    </row>
    <row r="35" spans="1:9" ht="16.8" x14ac:dyDescent="0.3">
      <c r="A35" s="116">
        <v>5</v>
      </c>
      <c r="B35" s="116" t="s">
        <v>167</v>
      </c>
      <c r="C35" s="117">
        <f>D15</f>
        <v>9500</v>
      </c>
      <c r="D35" s="139">
        <f t="shared" si="7"/>
        <v>855</v>
      </c>
      <c r="E35" s="117">
        <v>2475</v>
      </c>
      <c r="F35" s="139">
        <f t="shared" si="8"/>
        <v>740.4</v>
      </c>
      <c r="G35" s="117">
        <f t="shared" si="9"/>
        <v>6170</v>
      </c>
      <c r="H35" s="118">
        <f t="shared" si="10"/>
        <v>7904.6</v>
      </c>
      <c r="I35" s="109"/>
    </row>
    <row r="36" spans="1:9" ht="16.8" x14ac:dyDescent="0.3">
      <c r="A36" s="116">
        <v>6</v>
      </c>
      <c r="B36" s="116" t="s">
        <v>168</v>
      </c>
      <c r="C36" s="117">
        <f>D16</f>
        <v>9000</v>
      </c>
      <c r="D36" s="139">
        <f t="shared" si="7"/>
        <v>810</v>
      </c>
      <c r="E36" s="117">
        <v>2475</v>
      </c>
      <c r="F36" s="139">
        <f t="shared" si="8"/>
        <v>685.8</v>
      </c>
      <c r="G36" s="117">
        <f t="shared" si="9"/>
        <v>5715</v>
      </c>
      <c r="H36" s="118">
        <f t="shared" si="10"/>
        <v>7504.2</v>
      </c>
      <c r="I36" s="109"/>
    </row>
    <row r="37" spans="1:9" ht="16.8" x14ac:dyDescent="0.3">
      <c r="A37" s="116">
        <v>7</v>
      </c>
      <c r="B37" s="116" t="s">
        <v>162</v>
      </c>
      <c r="C37" s="117">
        <f>D10</f>
        <v>5000</v>
      </c>
      <c r="D37" s="139">
        <f t="shared" si="7"/>
        <v>450</v>
      </c>
      <c r="E37" s="117">
        <v>3300</v>
      </c>
      <c r="F37" s="139">
        <f t="shared" si="8"/>
        <v>150</v>
      </c>
      <c r="G37" s="117">
        <f t="shared" si="9"/>
        <v>1250</v>
      </c>
      <c r="H37" s="118">
        <f t="shared" si="10"/>
        <v>4400</v>
      </c>
      <c r="I37" s="109"/>
    </row>
    <row r="39" spans="1:9" ht="34.200000000000003" customHeight="1" x14ac:dyDescent="0.3">
      <c r="A39" s="144" t="s">
        <v>187</v>
      </c>
      <c r="B39" s="144"/>
      <c r="C39" s="144"/>
      <c r="D39" s="144"/>
      <c r="E39" s="144"/>
      <c r="F39" s="144"/>
      <c r="G39" s="144"/>
      <c r="H39" s="144"/>
    </row>
  </sheetData>
  <mergeCells count="7">
    <mergeCell ref="F2:H2"/>
    <mergeCell ref="A3:H3"/>
    <mergeCell ref="G4:H4"/>
    <mergeCell ref="A39:H39"/>
    <mergeCell ref="A7:H7"/>
    <mergeCell ref="A12:H12"/>
    <mergeCell ref="A18:H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topLeftCell="E16" zoomScaleNormal="100" workbookViewId="0">
      <selection activeCell="D17" sqref="D17"/>
    </sheetView>
  </sheetViews>
  <sheetFormatPr defaultRowHeight="14.4" x14ac:dyDescent="0.3"/>
  <cols>
    <col min="1" max="1" width="6.33203125" customWidth="1"/>
    <col min="2" max="2" width="7.33203125" customWidth="1"/>
    <col min="3" max="3" width="33.44140625" bestFit="1" customWidth="1"/>
    <col min="4" max="4" width="16.109375" customWidth="1"/>
    <col min="5" max="5" width="18" customWidth="1"/>
    <col min="7" max="7" width="7.5546875" bestFit="1" customWidth="1"/>
    <col min="8" max="8" width="39.33203125" bestFit="1" customWidth="1"/>
    <col min="9" max="9" width="17.5546875" bestFit="1" customWidth="1"/>
    <col min="10" max="10" width="16.5546875" bestFit="1" customWidth="1"/>
    <col min="13" max="13" width="37" customWidth="1"/>
    <col min="14" max="14" width="18" customWidth="1"/>
    <col min="15" max="15" width="18.88671875" customWidth="1"/>
  </cols>
  <sheetData>
    <row r="1" spans="1:15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.6" x14ac:dyDescent="0.3">
      <c r="A4" s="1"/>
      <c r="B4" s="92" t="s">
        <v>12</v>
      </c>
      <c r="C4" s="92"/>
      <c r="D4" s="92"/>
      <c r="E4" s="92"/>
      <c r="F4" s="1"/>
      <c r="G4" s="92" t="s">
        <v>125</v>
      </c>
      <c r="H4" s="93"/>
      <c r="I4" s="93"/>
      <c r="J4" s="93"/>
      <c r="K4" s="1" t="s">
        <v>127</v>
      </c>
      <c r="L4" s="92" t="s">
        <v>128</v>
      </c>
      <c r="M4" s="93"/>
      <c r="N4" s="93"/>
      <c r="O4" s="93"/>
    </row>
    <row r="5" spans="1:15" ht="15.6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1.2" x14ac:dyDescent="0.3">
      <c r="A6" s="1"/>
      <c r="B6" s="4" t="s">
        <v>0</v>
      </c>
      <c r="C6" s="4" t="s">
        <v>13</v>
      </c>
      <c r="D6" s="6" t="s">
        <v>14</v>
      </c>
      <c r="E6" s="6" t="s">
        <v>15</v>
      </c>
      <c r="F6" s="2"/>
      <c r="G6" s="4" t="s">
        <v>0</v>
      </c>
      <c r="H6" s="4" t="s">
        <v>13</v>
      </c>
      <c r="I6" s="6" t="s">
        <v>14</v>
      </c>
      <c r="J6" s="6" t="s">
        <v>15</v>
      </c>
      <c r="K6" s="2"/>
      <c r="L6" s="4" t="s">
        <v>0</v>
      </c>
      <c r="M6" s="4" t="s">
        <v>13</v>
      </c>
      <c r="N6" s="6" t="s">
        <v>14</v>
      </c>
      <c r="O6" s="6" t="s">
        <v>15</v>
      </c>
    </row>
    <row r="7" spans="1:15" ht="15.6" x14ac:dyDescent="0.3">
      <c r="A7" s="1"/>
      <c r="B7" s="3">
        <v>1</v>
      </c>
      <c r="C7" s="3">
        <v>2</v>
      </c>
      <c r="D7" s="3">
        <v>3</v>
      </c>
      <c r="E7" s="3" t="s">
        <v>143</v>
      </c>
      <c r="F7" s="2"/>
      <c r="G7" s="3">
        <v>1</v>
      </c>
      <c r="H7" s="3">
        <v>2</v>
      </c>
      <c r="I7" s="3">
        <v>3</v>
      </c>
      <c r="J7" s="3" t="s">
        <v>16</v>
      </c>
      <c r="K7" s="2"/>
      <c r="L7" s="3">
        <v>1</v>
      </c>
      <c r="M7" s="3">
        <v>2</v>
      </c>
      <c r="N7" s="3">
        <v>3</v>
      </c>
      <c r="O7" s="3" t="s">
        <v>16</v>
      </c>
    </row>
    <row r="8" spans="1:15" ht="15.6" x14ac:dyDescent="0.3">
      <c r="A8" s="1"/>
      <c r="B8" s="89" t="s">
        <v>17</v>
      </c>
      <c r="C8" s="90"/>
      <c r="D8" s="90"/>
      <c r="E8" s="91"/>
      <c r="F8" s="2"/>
      <c r="G8" s="89" t="s">
        <v>17</v>
      </c>
      <c r="H8" s="90"/>
      <c r="I8" s="90"/>
      <c r="J8" s="91"/>
      <c r="K8" s="2"/>
      <c r="L8" s="89" t="s">
        <v>17</v>
      </c>
      <c r="M8" s="90"/>
      <c r="N8" s="90"/>
      <c r="O8" s="91"/>
    </row>
    <row r="9" spans="1:15" ht="46.8" x14ac:dyDescent="0.3">
      <c r="A9" s="1"/>
      <c r="B9" s="3" t="s">
        <v>5</v>
      </c>
      <c r="C9" s="7" t="s">
        <v>18</v>
      </c>
      <c r="D9" s="3">
        <f>'Fondul de salarizare'!E17</f>
        <v>51000</v>
      </c>
      <c r="E9" s="3">
        <f>D9*12</f>
        <v>612000</v>
      </c>
      <c r="F9" s="2"/>
      <c r="G9" s="3" t="s">
        <v>5</v>
      </c>
      <c r="H9" s="7" t="s">
        <v>18</v>
      </c>
      <c r="I9" s="3">
        <f>D9</f>
        <v>51000</v>
      </c>
      <c r="J9" s="3">
        <f>I9*12</f>
        <v>612000</v>
      </c>
      <c r="K9" s="2"/>
      <c r="L9" s="3" t="s">
        <v>5</v>
      </c>
      <c r="M9" s="7" t="s">
        <v>18</v>
      </c>
      <c r="N9" s="3">
        <f>I9</f>
        <v>51000</v>
      </c>
      <c r="O9" s="3">
        <f>N9*12</f>
        <v>612000</v>
      </c>
    </row>
    <row r="10" spans="1:15" ht="15.6" x14ac:dyDescent="0.3">
      <c r="A10" s="1"/>
      <c r="B10" s="3" t="s">
        <v>7</v>
      </c>
      <c r="C10" s="5" t="s">
        <v>19</v>
      </c>
      <c r="D10" s="3">
        <f>D9*24%</f>
        <v>12240</v>
      </c>
      <c r="E10" s="3">
        <f>D10*12</f>
        <v>146880</v>
      </c>
      <c r="F10" s="2"/>
      <c r="G10" s="3" t="s">
        <v>7</v>
      </c>
      <c r="H10" s="5" t="s">
        <v>19</v>
      </c>
      <c r="I10" s="3">
        <v>10080</v>
      </c>
      <c r="J10" s="3">
        <f>I10*12</f>
        <v>120960</v>
      </c>
      <c r="K10" s="2"/>
      <c r="L10" s="3" t="s">
        <v>7</v>
      </c>
      <c r="M10" s="5" t="s">
        <v>19</v>
      </c>
      <c r="N10" s="3">
        <v>10080</v>
      </c>
      <c r="O10" s="3">
        <f>N10*12</f>
        <v>120960</v>
      </c>
    </row>
    <row r="11" spans="1:15" ht="15.6" x14ac:dyDescent="0.3">
      <c r="A11" s="1"/>
      <c r="B11" s="3" t="s">
        <v>9</v>
      </c>
      <c r="C11" s="5" t="s">
        <v>20</v>
      </c>
      <c r="D11" s="58">
        <f>'Mijloace fixe'!J18</f>
        <v>5067.9166666666661</v>
      </c>
      <c r="E11" s="58">
        <f>'Mijloace fixe'!I18</f>
        <v>60815</v>
      </c>
      <c r="F11" s="2"/>
      <c r="G11" s="3" t="s">
        <v>9</v>
      </c>
      <c r="H11" s="5" t="s">
        <v>20</v>
      </c>
      <c r="I11" s="58">
        <f>D11</f>
        <v>5067.9166666666661</v>
      </c>
      <c r="J11" s="3">
        <f t="shared" ref="J11" si="0">I11*12</f>
        <v>60814.999999999993</v>
      </c>
      <c r="K11" s="2"/>
      <c r="L11" s="3" t="s">
        <v>9</v>
      </c>
      <c r="M11" s="5" t="s">
        <v>20</v>
      </c>
      <c r="N11" s="58">
        <f>D11</f>
        <v>5067.9166666666661</v>
      </c>
      <c r="O11" s="3">
        <f t="shared" ref="O11" si="1">N11*12</f>
        <v>60814.999999999993</v>
      </c>
    </row>
    <row r="12" spans="1:15" ht="31.2" x14ac:dyDescent="0.3">
      <c r="A12" s="1"/>
      <c r="B12" s="3" t="s">
        <v>21</v>
      </c>
      <c r="C12" s="7" t="s">
        <v>22</v>
      </c>
      <c r="D12" s="3">
        <f>'Mijloace fixe'!F30</f>
        <v>35625</v>
      </c>
      <c r="E12" s="3">
        <f>D12</f>
        <v>35625</v>
      </c>
      <c r="F12" s="2"/>
      <c r="G12" s="3" t="s">
        <v>21</v>
      </c>
      <c r="H12" s="7" t="s">
        <v>22</v>
      </c>
      <c r="I12" s="3">
        <f>Cheltuieli!D12</f>
        <v>35625</v>
      </c>
      <c r="J12" s="3">
        <f>I12</f>
        <v>35625</v>
      </c>
      <c r="K12" s="2"/>
      <c r="L12" s="3" t="s">
        <v>21</v>
      </c>
      <c r="M12" s="7" t="s">
        <v>22</v>
      </c>
      <c r="N12" s="3">
        <f>D12</f>
        <v>35625</v>
      </c>
      <c r="O12" s="3">
        <f>N12</f>
        <v>35625</v>
      </c>
    </row>
    <row r="13" spans="1:15" ht="15.6" x14ac:dyDescent="0.3">
      <c r="A13" s="1"/>
      <c r="B13" s="3" t="s">
        <v>21</v>
      </c>
      <c r="C13" s="5" t="s">
        <v>23</v>
      </c>
      <c r="D13" s="3">
        <v>20000</v>
      </c>
      <c r="E13" s="3">
        <f t="shared" ref="E11:E13" si="2">D13*12</f>
        <v>240000</v>
      </c>
      <c r="F13" s="2"/>
      <c r="G13" s="3" t="s">
        <v>21</v>
      </c>
      <c r="H13" s="5" t="s">
        <v>23</v>
      </c>
      <c r="I13" s="3">
        <v>20000</v>
      </c>
      <c r="J13" s="3">
        <f t="shared" ref="J13" si="3">I13*12</f>
        <v>240000</v>
      </c>
      <c r="K13" s="2"/>
      <c r="L13" s="3" t="s">
        <v>21</v>
      </c>
      <c r="M13" s="5" t="s">
        <v>23</v>
      </c>
      <c r="N13" s="3">
        <v>20000</v>
      </c>
      <c r="O13" s="3">
        <f t="shared" ref="O13" si="4">N13*12</f>
        <v>240000</v>
      </c>
    </row>
    <row r="14" spans="1:15" ht="15.6" x14ac:dyDescent="0.3">
      <c r="A14" s="1"/>
      <c r="B14" s="3" t="s">
        <v>24</v>
      </c>
      <c r="C14" s="5" t="s">
        <v>25</v>
      </c>
      <c r="D14" s="3">
        <v>100000</v>
      </c>
      <c r="E14" s="3">
        <v>100000</v>
      </c>
      <c r="F14" s="2"/>
      <c r="G14" s="3"/>
      <c r="H14" s="5"/>
      <c r="I14" s="3"/>
      <c r="J14" s="3"/>
      <c r="K14" s="2"/>
      <c r="L14" s="3"/>
      <c r="M14" s="5"/>
      <c r="N14" s="3"/>
      <c r="O14" s="3"/>
    </row>
    <row r="15" spans="1:15" ht="31.2" x14ac:dyDescent="0.3">
      <c r="A15" s="1"/>
      <c r="B15" s="3" t="s">
        <v>26</v>
      </c>
      <c r="C15" s="7" t="s">
        <v>27</v>
      </c>
      <c r="D15" s="3">
        <v>1500</v>
      </c>
      <c r="E15" s="3">
        <v>18000</v>
      </c>
      <c r="F15" s="2"/>
      <c r="G15" s="3" t="s">
        <v>26</v>
      </c>
      <c r="H15" s="7" t="s">
        <v>27</v>
      </c>
      <c r="I15" s="3">
        <v>1500</v>
      </c>
      <c r="J15" s="3">
        <v>18000</v>
      </c>
      <c r="K15" s="2"/>
      <c r="L15" s="3" t="s">
        <v>26</v>
      </c>
      <c r="M15" s="7" t="s">
        <v>27</v>
      </c>
      <c r="N15" s="3">
        <v>1500</v>
      </c>
      <c r="O15" s="3">
        <v>18000</v>
      </c>
    </row>
    <row r="16" spans="1:15" ht="15.6" x14ac:dyDescent="0.3">
      <c r="A16" s="1"/>
      <c r="B16" s="3"/>
      <c r="C16" s="7"/>
      <c r="D16" s="3"/>
      <c r="E16" s="3"/>
      <c r="F16" s="2"/>
      <c r="G16" s="3">
        <v>8</v>
      </c>
      <c r="H16" s="7" t="s">
        <v>126</v>
      </c>
      <c r="I16" s="3">
        <v>21000</v>
      </c>
      <c r="J16" s="3">
        <f>I16*12</f>
        <v>252000</v>
      </c>
      <c r="K16" s="2"/>
      <c r="L16" s="3">
        <v>8</v>
      </c>
      <c r="M16" s="7" t="s">
        <v>126</v>
      </c>
      <c r="N16" s="3">
        <v>27000</v>
      </c>
      <c r="O16" s="3">
        <f>N16*12</f>
        <v>324000</v>
      </c>
    </row>
    <row r="17" spans="1:15" ht="16.2" x14ac:dyDescent="0.3">
      <c r="A17" s="1"/>
      <c r="B17" s="3"/>
      <c r="C17" s="10" t="s">
        <v>28</v>
      </c>
      <c r="D17" s="178">
        <f>SUM(D9:D15)</f>
        <v>225432.91666666669</v>
      </c>
      <c r="E17" s="4">
        <f>SUM(E9:E15)</f>
        <v>1213320</v>
      </c>
      <c r="F17" s="2"/>
      <c r="G17" s="3"/>
      <c r="H17" s="10" t="s">
        <v>28</v>
      </c>
      <c r="I17" s="178">
        <f>SUM(I9:I16)</f>
        <v>144272.91666666669</v>
      </c>
      <c r="J17" s="4">
        <f>SUM(J9:J16)</f>
        <v>1339400</v>
      </c>
      <c r="K17" s="2"/>
      <c r="L17" s="3"/>
      <c r="M17" s="10" t="s">
        <v>28</v>
      </c>
      <c r="N17" s="178">
        <f>SUM(N9:N16)</f>
        <v>150272.91666666669</v>
      </c>
      <c r="O17" s="4">
        <f>SUM(O9:O16)</f>
        <v>1411400</v>
      </c>
    </row>
    <row r="18" spans="1:15" ht="15.6" x14ac:dyDescent="0.3">
      <c r="A18" s="1"/>
      <c r="B18" s="89" t="s">
        <v>29</v>
      </c>
      <c r="C18" s="90"/>
      <c r="D18" s="90"/>
      <c r="E18" s="91"/>
      <c r="F18" s="2"/>
      <c r="G18" s="89" t="s">
        <v>29</v>
      </c>
      <c r="H18" s="90"/>
      <c r="I18" s="90"/>
      <c r="J18" s="91"/>
      <c r="K18" s="2"/>
      <c r="L18" s="89" t="s">
        <v>29</v>
      </c>
      <c r="M18" s="90"/>
      <c r="N18" s="90"/>
      <c r="O18" s="91"/>
    </row>
    <row r="19" spans="1:15" ht="15.6" x14ac:dyDescent="0.3">
      <c r="A19" s="1"/>
      <c r="B19" s="3" t="s">
        <v>30</v>
      </c>
      <c r="C19" s="7" t="s">
        <v>31</v>
      </c>
      <c r="D19" s="3">
        <f>'Fondul de salarizare'!E11</f>
        <v>35000</v>
      </c>
      <c r="E19" s="3">
        <f t="shared" ref="E19:E20" si="5">D19*12</f>
        <v>420000</v>
      </c>
      <c r="F19" s="2"/>
      <c r="G19" s="3" t="s">
        <v>30</v>
      </c>
      <c r="H19" s="7" t="s">
        <v>31</v>
      </c>
      <c r="I19" s="3">
        <f>D19</f>
        <v>35000</v>
      </c>
      <c r="J19" s="3">
        <f t="shared" ref="J19:J20" si="6">I19*12</f>
        <v>420000</v>
      </c>
      <c r="K19" s="2"/>
      <c r="L19" s="3" t="s">
        <v>30</v>
      </c>
      <c r="M19" s="7" t="s">
        <v>31</v>
      </c>
      <c r="N19" s="3">
        <f>I19</f>
        <v>35000</v>
      </c>
      <c r="O19" s="3">
        <f t="shared" ref="O19:O20" si="7">N19*12</f>
        <v>420000</v>
      </c>
    </row>
    <row r="20" spans="1:15" ht="15.6" x14ac:dyDescent="0.3">
      <c r="A20" s="1"/>
      <c r="B20" s="3" t="s">
        <v>32</v>
      </c>
      <c r="C20" s="5" t="s">
        <v>51</v>
      </c>
      <c r="D20" s="3">
        <f>D19*24%</f>
        <v>8400</v>
      </c>
      <c r="E20" s="3">
        <f t="shared" si="5"/>
        <v>100800</v>
      </c>
      <c r="F20" s="2"/>
      <c r="G20" s="3" t="s">
        <v>32</v>
      </c>
      <c r="H20" s="5" t="s">
        <v>51</v>
      </c>
      <c r="I20" s="3">
        <v>7200</v>
      </c>
      <c r="J20" s="3">
        <f t="shared" si="6"/>
        <v>86400</v>
      </c>
      <c r="K20" s="2"/>
      <c r="L20" s="3" t="s">
        <v>32</v>
      </c>
      <c r="M20" s="5" t="s">
        <v>51</v>
      </c>
      <c r="N20" s="3">
        <v>7200</v>
      </c>
      <c r="O20" s="3">
        <f t="shared" si="7"/>
        <v>86400</v>
      </c>
    </row>
    <row r="21" spans="1:15" ht="15.6" x14ac:dyDescent="0.3">
      <c r="A21" s="1"/>
      <c r="B21" s="3" t="s">
        <v>33</v>
      </c>
      <c r="C21" s="7" t="s">
        <v>34</v>
      </c>
      <c r="D21" s="3">
        <v>2000</v>
      </c>
      <c r="E21" s="3">
        <v>2000</v>
      </c>
      <c r="F21" s="2"/>
      <c r="G21" s="3" t="s">
        <v>33</v>
      </c>
      <c r="H21" s="7" t="s">
        <v>34</v>
      </c>
      <c r="I21" s="3">
        <v>2000</v>
      </c>
      <c r="J21" s="3">
        <v>2000</v>
      </c>
      <c r="K21" s="2"/>
      <c r="L21" s="3" t="s">
        <v>33</v>
      </c>
      <c r="M21" s="7" t="s">
        <v>34</v>
      </c>
      <c r="N21" s="3">
        <v>2000</v>
      </c>
      <c r="O21" s="3">
        <v>2000</v>
      </c>
    </row>
    <row r="22" spans="1:15" ht="31.2" x14ac:dyDescent="0.3">
      <c r="A22" s="1"/>
      <c r="B22" s="3" t="s">
        <v>35</v>
      </c>
      <c r="C22" s="7" t="s">
        <v>36</v>
      </c>
      <c r="D22" s="3">
        <v>700</v>
      </c>
      <c r="E22" s="3">
        <v>8400</v>
      </c>
      <c r="F22" s="2"/>
      <c r="G22" s="3" t="s">
        <v>35</v>
      </c>
      <c r="H22" s="7" t="s">
        <v>36</v>
      </c>
      <c r="I22" s="3">
        <v>700</v>
      </c>
      <c r="J22" s="3">
        <v>8400</v>
      </c>
      <c r="K22" s="2"/>
      <c r="L22" s="3" t="s">
        <v>35</v>
      </c>
      <c r="M22" s="7" t="s">
        <v>36</v>
      </c>
      <c r="N22" s="3">
        <v>700</v>
      </c>
      <c r="O22" s="3">
        <v>8400</v>
      </c>
    </row>
    <row r="23" spans="1:15" ht="15.6" x14ac:dyDescent="0.3">
      <c r="A23" s="1"/>
      <c r="B23" s="3" t="s">
        <v>37</v>
      </c>
      <c r="C23" s="7" t="s">
        <v>52</v>
      </c>
      <c r="D23" s="3">
        <v>3500</v>
      </c>
      <c r="E23" s="3">
        <v>40254</v>
      </c>
      <c r="F23" s="2"/>
      <c r="G23" s="3" t="s">
        <v>37</v>
      </c>
      <c r="H23" s="7" t="s">
        <v>52</v>
      </c>
      <c r="I23" s="3">
        <v>3500</v>
      </c>
      <c r="J23" s="3">
        <v>40254</v>
      </c>
      <c r="K23" s="2"/>
      <c r="L23" s="3" t="s">
        <v>37</v>
      </c>
      <c r="M23" s="7" t="s">
        <v>52</v>
      </c>
      <c r="N23" s="3">
        <v>3500</v>
      </c>
      <c r="O23" s="3">
        <v>40254</v>
      </c>
    </row>
    <row r="24" spans="1:15" ht="15.6" x14ac:dyDescent="0.3">
      <c r="A24" s="1"/>
      <c r="B24" s="3" t="s">
        <v>38</v>
      </c>
      <c r="C24" s="7" t="s">
        <v>39</v>
      </c>
      <c r="D24" s="3">
        <v>3000</v>
      </c>
      <c r="E24" s="3">
        <v>3000</v>
      </c>
      <c r="F24" s="2"/>
      <c r="G24" s="3" t="s">
        <v>38</v>
      </c>
      <c r="H24" s="7" t="s">
        <v>39</v>
      </c>
      <c r="I24" s="3">
        <v>3000</v>
      </c>
      <c r="J24" s="3">
        <v>3000</v>
      </c>
      <c r="K24" s="2"/>
      <c r="L24" s="3" t="s">
        <v>38</v>
      </c>
      <c r="M24" s="7" t="s">
        <v>39</v>
      </c>
      <c r="N24" s="3">
        <v>3000</v>
      </c>
      <c r="O24" s="3">
        <v>3000</v>
      </c>
    </row>
    <row r="25" spans="1:15" ht="15.6" x14ac:dyDescent="0.3">
      <c r="A25" s="1"/>
      <c r="B25" s="3">
        <v>14</v>
      </c>
      <c r="C25" s="7" t="s">
        <v>124</v>
      </c>
      <c r="D25" s="3">
        <v>467</v>
      </c>
      <c r="E25" s="3">
        <v>5600</v>
      </c>
      <c r="F25" s="2"/>
      <c r="G25" s="3">
        <v>14</v>
      </c>
      <c r="H25" s="7" t="s">
        <v>124</v>
      </c>
      <c r="I25" s="3">
        <v>467</v>
      </c>
      <c r="J25" s="3">
        <v>5600</v>
      </c>
      <c r="K25" s="2"/>
      <c r="L25" s="3">
        <v>14</v>
      </c>
      <c r="M25" s="7" t="s">
        <v>124</v>
      </c>
      <c r="N25" s="3">
        <v>467</v>
      </c>
      <c r="O25" s="3">
        <v>5600</v>
      </c>
    </row>
    <row r="26" spans="1:15" ht="15.6" x14ac:dyDescent="0.3">
      <c r="A26" s="1"/>
      <c r="B26" s="3"/>
      <c r="C26" s="59" t="s">
        <v>40</v>
      </c>
      <c r="D26" s="4">
        <f>SUM(D19:D25)</f>
        <v>53067</v>
      </c>
      <c r="E26" s="4">
        <f>SUM(E19:E25)</f>
        <v>580054</v>
      </c>
      <c r="F26" s="2"/>
      <c r="G26" s="4"/>
      <c r="H26" s="59" t="s">
        <v>40</v>
      </c>
      <c r="I26" s="4">
        <f>SUM(I19:I25)</f>
        <v>51867</v>
      </c>
      <c r="J26" s="4">
        <f>SUM(J19:J25)</f>
        <v>565654</v>
      </c>
      <c r="K26" s="2"/>
      <c r="L26" s="4"/>
      <c r="M26" s="59" t="s">
        <v>40</v>
      </c>
      <c r="N26" s="4">
        <f>SUM(N19:N25)</f>
        <v>51867</v>
      </c>
      <c r="O26" s="4">
        <f>SUM(O19:O25)</f>
        <v>565654</v>
      </c>
    </row>
    <row r="27" spans="1:15" ht="15.6" x14ac:dyDescent="0.3">
      <c r="A27" s="1"/>
      <c r="B27" s="89" t="s">
        <v>41</v>
      </c>
      <c r="C27" s="90"/>
      <c r="D27" s="90"/>
      <c r="E27" s="91"/>
      <c r="F27" s="2"/>
      <c r="G27" s="89" t="s">
        <v>41</v>
      </c>
      <c r="H27" s="90"/>
      <c r="I27" s="90"/>
      <c r="J27" s="91"/>
      <c r="K27" s="2"/>
      <c r="L27" s="89" t="s">
        <v>41</v>
      </c>
      <c r="M27" s="90"/>
      <c r="N27" s="90"/>
      <c r="O27" s="91"/>
    </row>
    <row r="28" spans="1:15" ht="15.6" x14ac:dyDescent="0.3">
      <c r="A28" s="1"/>
      <c r="B28" s="3" t="s">
        <v>42</v>
      </c>
      <c r="C28" s="7" t="s">
        <v>43</v>
      </c>
      <c r="D28" s="3">
        <v>2000</v>
      </c>
      <c r="E28" s="3">
        <v>24000</v>
      </c>
      <c r="F28" s="2"/>
      <c r="G28" s="3" t="s">
        <v>42</v>
      </c>
      <c r="H28" s="7" t="s">
        <v>43</v>
      </c>
      <c r="I28" s="3">
        <v>2000</v>
      </c>
      <c r="J28" s="3">
        <v>24000</v>
      </c>
      <c r="K28" s="2"/>
      <c r="L28" s="3" t="s">
        <v>42</v>
      </c>
      <c r="M28" s="7" t="s">
        <v>43</v>
      </c>
      <c r="N28" s="3">
        <v>2000</v>
      </c>
      <c r="O28" s="3">
        <v>24000</v>
      </c>
    </row>
    <row r="29" spans="1:15" ht="62.4" x14ac:dyDescent="0.3">
      <c r="A29" s="1"/>
      <c r="B29" s="4"/>
      <c r="C29" s="6" t="s">
        <v>44</v>
      </c>
      <c r="D29" s="4">
        <v>268671</v>
      </c>
      <c r="E29" s="4">
        <v>1677177</v>
      </c>
      <c r="F29" s="2"/>
      <c r="G29" s="4"/>
      <c r="H29" s="6" t="s">
        <v>44</v>
      </c>
      <c r="I29" s="4">
        <f>I17+I26+I28</f>
        <v>198139.91666666669</v>
      </c>
      <c r="J29" s="4">
        <f>J28+J17+J26</f>
        <v>1929054</v>
      </c>
      <c r="K29" s="2"/>
      <c r="L29" s="4"/>
      <c r="M29" s="6" t="s">
        <v>44</v>
      </c>
      <c r="N29" s="4">
        <f>N17+N26+N28</f>
        <v>204139.91666666669</v>
      </c>
      <c r="O29" s="4">
        <f>O28+O17+O26</f>
        <v>2001054</v>
      </c>
    </row>
    <row r="30" spans="1:15" ht="15.6" x14ac:dyDescent="0.3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31.2" x14ac:dyDescent="0.3">
      <c r="A31" s="1"/>
      <c r="B31" s="2"/>
      <c r="C31" s="8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5.6" x14ac:dyDescent="0.3">
      <c r="A32" s="1"/>
      <c r="B32" s="2"/>
      <c r="C32" s="2" t="s">
        <v>11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5.6" x14ac:dyDescent="0.3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5.6" x14ac:dyDescent="0.3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5.6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ht="15.6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.6" x14ac:dyDescent="0.3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.6" x14ac:dyDescent="0.3">
      <c r="A38" s="1"/>
      <c r="B38" s="1"/>
      <c r="C38" s="1"/>
      <c r="D38" s="1"/>
      <c r="E38" s="1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.6" x14ac:dyDescent="0.3">
      <c r="A39" s="1"/>
      <c r="B39" s="1"/>
      <c r="C39" s="1"/>
      <c r="D39" s="1"/>
      <c r="E39" s="1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.6" x14ac:dyDescent="0.3">
      <c r="A40" s="1"/>
      <c r="B40" s="1"/>
      <c r="C40" s="1"/>
      <c r="D40" s="1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6" x14ac:dyDescent="0.3">
      <c r="A41" s="1"/>
      <c r="B41" s="1"/>
      <c r="C41" s="1"/>
      <c r="D41" s="1"/>
      <c r="E41" s="1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.6" x14ac:dyDescent="0.3">
      <c r="A42" s="1"/>
      <c r="B42" s="1"/>
      <c r="C42" s="1"/>
      <c r="D42" s="1"/>
      <c r="E42" s="1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.6" x14ac:dyDescent="0.3">
      <c r="A43" s="1"/>
      <c r="B43" s="1"/>
      <c r="C43" s="1"/>
      <c r="D43" s="1"/>
      <c r="E43" s="1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ht="15.6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6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6" x14ac:dyDescent="0.3">
      <c r="A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6" x14ac:dyDescent="0.3">
      <c r="A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6" x14ac:dyDescent="0.3">
      <c r="A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6" x14ac:dyDescent="0.3">
      <c r="A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6" x14ac:dyDescent="0.3">
      <c r="A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6" x14ac:dyDescent="0.3">
      <c r="A51" s="1"/>
      <c r="F51" s="1"/>
      <c r="G51" s="1"/>
      <c r="H51" s="1"/>
      <c r="I51" s="1"/>
      <c r="J51" s="1"/>
      <c r="K51" s="1"/>
      <c r="L51" s="1"/>
      <c r="M51" s="1"/>
      <c r="N51" s="1"/>
      <c r="O51" s="1"/>
    </row>
  </sheetData>
  <mergeCells count="12">
    <mergeCell ref="B4:E4"/>
    <mergeCell ref="B8:E8"/>
    <mergeCell ref="B18:E18"/>
    <mergeCell ref="B27:E27"/>
    <mergeCell ref="G8:J8"/>
    <mergeCell ref="G18:J18"/>
    <mergeCell ref="G27:J27"/>
    <mergeCell ref="L27:O27"/>
    <mergeCell ref="L4:O4"/>
    <mergeCell ref="G4:J4"/>
    <mergeCell ref="L8:O8"/>
    <mergeCell ref="L18:O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O17"/>
  <sheetViews>
    <sheetView topLeftCell="J5" zoomScale="168" zoomScaleNormal="168" workbookViewId="0">
      <selection activeCell="I15" sqref="I15"/>
    </sheetView>
  </sheetViews>
  <sheetFormatPr defaultRowHeight="14.4" x14ac:dyDescent="0.3"/>
  <cols>
    <col min="2" max="2" width="7.44140625" customWidth="1"/>
    <col min="3" max="3" width="44.33203125" customWidth="1"/>
    <col min="4" max="4" width="16.44140625" customWidth="1"/>
    <col min="5" max="5" width="14.109375" bestFit="1" customWidth="1"/>
    <col min="8" max="8" width="48.44140625" bestFit="1" customWidth="1"/>
    <col min="9" max="9" width="17.33203125" bestFit="1" customWidth="1"/>
    <col min="10" max="10" width="14.33203125" bestFit="1" customWidth="1"/>
    <col min="12" max="12" width="11.109375" customWidth="1"/>
    <col min="13" max="13" width="48.44140625" bestFit="1" customWidth="1"/>
    <col min="14" max="14" width="17.88671875" customWidth="1"/>
    <col min="15" max="15" width="18.33203125" customWidth="1"/>
  </cols>
  <sheetData>
    <row r="3" spans="2:15" ht="17.399999999999999" x14ac:dyDescent="0.3">
      <c r="B3" s="101" t="s">
        <v>58</v>
      </c>
      <c r="C3" s="101"/>
      <c r="D3" s="101"/>
      <c r="E3" s="101"/>
      <c r="F3" s="101"/>
      <c r="G3" s="101"/>
      <c r="H3" s="101"/>
      <c r="I3" s="12"/>
      <c r="J3" s="12"/>
      <c r="K3" s="12"/>
    </row>
    <row r="4" spans="2:15" x14ac:dyDescent="0.3">
      <c r="B4" s="12"/>
      <c r="C4" s="12"/>
      <c r="D4" s="12"/>
      <c r="E4" s="12"/>
      <c r="F4" s="12"/>
      <c r="G4" s="55"/>
      <c r="H4" s="55"/>
      <c r="I4" s="12"/>
      <c r="J4" s="12"/>
      <c r="K4" s="12"/>
    </row>
    <row r="5" spans="2:15" ht="15.6" x14ac:dyDescent="0.3">
      <c r="B5" s="94" t="s">
        <v>129</v>
      </c>
      <c r="C5" s="94"/>
      <c r="D5" s="94"/>
      <c r="E5" s="94"/>
      <c r="F5" s="60"/>
      <c r="G5" s="94" t="s">
        <v>125</v>
      </c>
      <c r="H5" s="94"/>
      <c r="I5" s="94"/>
      <c r="J5" s="94"/>
      <c r="K5" s="12"/>
      <c r="L5" s="94" t="s">
        <v>128</v>
      </c>
      <c r="M5" s="94"/>
      <c r="N5" s="94"/>
      <c r="O5" s="94"/>
    </row>
    <row r="6" spans="2:15" x14ac:dyDescent="0.3">
      <c r="B6" s="95" t="s">
        <v>0</v>
      </c>
      <c r="C6" s="97" t="s">
        <v>59</v>
      </c>
      <c r="D6" s="99" t="s">
        <v>60</v>
      </c>
      <c r="E6" s="99" t="s">
        <v>61</v>
      </c>
      <c r="F6" s="12"/>
      <c r="G6" s="95" t="s">
        <v>0</v>
      </c>
      <c r="H6" s="97" t="s">
        <v>59</v>
      </c>
      <c r="I6" s="99" t="s">
        <v>60</v>
      </c>
      <c r="J6" s="99" t="s">
        <v>61</v>
      </c>
      <c r="K6" s="12"/>
      <c r="L6" s="95" t="s">
        <v>0</v>
      </c>
      <c r="M6" s="97" t="s">
        <v>59</v>
      </c>
      <c r="N6" s="99" t="s">
        <v>60</v>
      </c>
      <c r="O6" s="99" t="s">
        <v>61</v>
      </c>
    </row>
    <row r="7" spans="2:15" x14ac:dyDescent="0.3">
      <c r="B7" s="96"/>
      <c r="C7" s="98"/>
      <c r="D7" s="100"/>
      <c r="E7" s="100"/>
      <c r="F7" s="12"/>
      <c r="G7" s="96"/>
      <c r="H7" s="98"/>
      <c r="I7" s="100"/>
      <c r="J7" s="100"/>
      <c r="K7" s="12"/>
      <c r="L7" s="96"/>
      <c r="M7" s="98"/>
      <c r="N7" s="100"/>
      <c r="O7" s="100"/>
    </row>
    <row r="8" spans="2:15" ht="15.6" x14ac:dyDescent="0.3">
      <c r="B8" s="13" t="s">
        <v>4</v>
      </c>
      <c r="C8" s="14" t="s">
        <v>62</v>
      </c>
      <c r="D8" s="15">
        <f>Venit!F17</f>
        <v>179000</v>
      </c>
      <c r="E8" s="15">
        <f>D8*12</f>
        <v>2148000</v>
      </c>
      <c r="F8" s="12"/>
      <c r="G8" s="13" t="s">
        <v>4</v>
      </c>
      <c r="H8" s="14" t="s">
        <v>62</v>
      </c>
      <c r="I8" s="15">
        <f>Venit!M17</f>
        <v>223750</v>
      </c>
      <c r="J8" s="15">
        <f>Venit!N17</f>
        <v>2685000</v>
      </c>
      <c r="K8" s="12"/>
      <c r="L8" s="13" t="s">
        <v>4</v>
      </c>
      <c r="M8" s="14" t="s">
        <v>62</v>
      </c>
      <c r="N8" s="61">
        <f>Venit!T17</f>
        <v>279687.5</v>
      </c>
      <c r="O8" s="15">
        <f>Venit!U17</f>
        <v>3356250</v>
      </c>
    </row>
    <row r="9" spans="2:15" ht="15.6" x14ac:dyDescent="0.3">
      <c r="B9" s="13" t="s">
        <v>5</v>
      </c>
      <c r="C9" s="14" t="s">
        <v>63</v>
      </c>
      <c r="D9" s="61">
        <f>Cheltuieli!D17</f>
        <v>225432.91666666669</v>
      </c>
      <c r="E9" s="15">
        <f>Cheltuieli!E17</f>
        <v>1213320</v>
      </c>
      <c r="F9" s="12"/>
      <c r="G9" s="13" t="s">
        <v>5</v>
      </c>
      <c r="H9" s="14" t="s">
        <v>63</v>
      </c>
      <c r="I9" s="61">
        <f>Cheltuieli!I17</f>
        <v>144272.91666666669</v>
      </c>
      <c r="J9" s="15">
        <f>Cheltuieli!J17</f>
        <v>1339400</v>
      </c>
      <c r="K9" s="12"/>
      <c r="L9" s="13" t="s">
        <v>5</v>
      </c>
      <c r="M9" s="14" t="s">
        <v>63</v>
      </c>
      <c r="N9" s="61">
        <f>Cheltuieli!N17</f>
        <v>150272.91666666669</v>
      </c>
      <c r="O9" s="15">
        <f>Cheltuieli!O17</f>
        <v>1411400</v>
      </c>
    </row>
    <row r="10" spans="2:15" ht="15.6" x14ac:dyDescent="0.3">
      <c r="B10" s="23" t="s">
        <v>7</v>
      </c>
      <c r="C10" s="24" t="s">
        <v>64</v>
      </c>
      <c r="D10" s="173">
        <f>D8-D9</f>
        <v>-46432.916666666686</v>
      </c>
      <c r="E10" s="25">
        <f>E8-E9</f>
        <v>934680</v>
      </c>
      <c r="F10" s="12"/>
      <c r="G10" s="23" t="s">
        <v>7</v>
      </c>
      <c r="H10" s="24" t="s">
        <v>64</v>
      </c>
      <c r="I10" s="174">
        <f>I8-I9</f>
        <v>79477.083333333314</v>
      </c>
      <c r="J10" s="25">
        <f>J8-J9</f>
        <v>1345600</v>
      </c>
      <c r="K10" s="12"/>
      <c r="L10" s="23" t="s">
        <v>7</v>
      </c>
      <c r="M10" s="24" t="s">
        <v>64</v>
      </c>
      <c r="N10" s="174">
        <f>N8-N9</f>
        <v>129414.58333333331</v>
      </c>
      <c r="O10" s="25">
        <f>O8-O9</f>
        <v>1944850</v>
      </c>
    </row>
    <row r="11" spans="2:15" ht="15.6" x14ac:dyDescent="0.3">
      <c r="B11" s="85"/>
      <c r="C11" s="86"/>
      <c r="D11" s="83"/>
      <c r="E11" s="87"/>
      <c r="F11" s="55"/>
      <c r="G11" s="81"/>
      <c r="H11" s="82"/>
      <c r="I11" s="83"/>
      <c r="J11" s="84"/>
      <c r="K11" s="55"/>
      <c r="L11" s="81"/>
      <c r="M11" s="82"/>
      <c r="N11" s="83"/>
      <c r="O11" s="84"/>
    </row>
    <row r="12" spans="2:15" ht="15.6" x14ac:dyDescent="0.3">
      <c r="B12" s="13" t="s">
        <v>9</v>
      </c>
      <c r="C12" s="14" t="s">
        <v>65</v>
      </c>
      <c r="D12" s="15">
        <f>Cheltuieli!D28</f>
        <v>2000</v>
      </c>
      <c r="E12" s="15">
        <f>Cheltuieli!E28</f>
        <v>24000</v>
      </c>
      <c r="F12" s="12"/>
      <c r="G12" s="13" t="s">
        <v>9</v>
      </c>
      <c r="H12" s="14" t="s">
        <v>65</v>
      </c>
      <c r="I12" s="15">
        <v>4000</v>
      </c>
      <c r="J12" s="15">
        <f>12*I12</f>
        <v>48000</v>
      </c>
      <c r="K12" s="12"/>
      <c r="L12" s="13" t="s">
        <v>9</v>
      </c>
      <c r="M12" s="14" t="s">
        <v>65</v>
      </c>
      <c r="N12" s="15">
        <v>5000</v>
      </c>
      <c r="O12" s="15">
        <f>12*N12</f>
        <v>60000</v>
      </c>
    </row>
    <row r="13" spans="2:15" ht="15.6" x14ac:dyDescent="0.3">
      <c r="B13" s="13" t="s">
        <v>21</v>
      </c>
      <c r="C13" s="14" t="s">
        <v>29</v>
      </c>
      <c r="D13" s="15">
        <f>Cheltuieli!D26</f>
        <v>53067</v>
      </c>
      <c r="E13" s="15">
        <f>Cheltuieli!E26</f>
        <v>580054</v>
      </c>
      <c r="F13" s="12"/>
      <c r="G13" s="13" t="s">
        <v>21</v>
      </c>
      <c r="H13" s="14" t="s">
        <v>29</v>
      </c>
      <c r="I13" s="15">
        <f>Cheltuieli!I26</f>
        <v>51867</v>
      </c>
      <c r="J13" s="15">
        <f>Cheltuieli!J26</f>
        <v>565654</v>
      </c>
      <c r="K13" s="12"/>
      <c r="L13" s="13" t="s">
        <v>21</v>
      </c>
      <c r="M13" s="14" t="s">
        <v>29</v>
      </c>
      <c r="N13" s="15">
        <f>Cheltuieli!I26</f>
        <v>51867</v>
      </c>
      <c r="O13" s="15">
        <f>Cheltuieli!J26</f>
        <v>565654</v>
      </c>
    </row>
    <row r="14" spans="2:15" ht="15.6" x14ac:dyDescent="0.3">
      <c r="B14" s="13" t="s">
        <v>24</v>
      </c>
      <c r="C14" s="14" t="s">
        <v>66</v>
      </c>
      <c r="D14" s="15">
        <v>0</v>
      </c>
      <c r="E14" s="15">
        <v>0</v>
      </c>
      <c r="F14" s="12"/>
      <c r="G14" s="13" t="s">
        <v>24</v>
      </c>
      <c r="H14" s="14" t="s">
        <v>130</v>
      </c>
      <c r="I14" s="15">
        <v>5000</v>
      </c>
      <c r="J14" s="15">
        <f>I14*12</f>
        <v>60000</v>
      </c>
      <c r="K14" s="12"/>
      <c r="L14" s="13" t="s">
        <v>24</v>
      </c>
      <c r="M14" s="14" t="s">
        <v>130</v>
      </c>
      <c r="N14" s="15">
        <v>7000</v>
      </c>
      <c r="O14" s="15">
        <f>N14*12</f>
        <v>84000</v>
      </c>
    </row>
    <row r="15" spans="2:15" ht="43.5" customHeight="1" x14ac:dyDescent="0.3">
      <c r="B15" s="13" t="s">
        <v>26</v>
      </c>
      <c r="C15" s="17" t="s">
        <v>67</v>
      </c>
      <c r="D15" s="16">
        <v>-3771</v>
      </c>
      <c r="E15" s="16">
        <f>E10-E12-E13-E14</f>
        <v>330626</v>
      </c>
      <c r="F15" s="12"/>
      <c r="G15" s="13" t="s">
        <v>26</v>
      </c>
      <c r="H15" s="17" t="s">
        <v>67</v>
      </c>
      <c r="I15" s="22">
        <f>I10-I12-I13-I14</f>
        <v>18610.083333333314</v>
      </c>
      <c r="J15" s="16">
        <f>J10-J12-J13-J14</f>
        <v>671946</v>
      </c>
      <c r="K15" s="12"/>
      <c r="L15" s="13" t="s">
        <v>26</v>
      </c>
      <c r="M15" s="17" t="s">
        <v>67</v>
      </c>
      <c r="N15" s="22">
        <f>N10-N12-N13-N14</f>
        <v>65547.583333333314</v>
      </c>
      <c r="O15" s="16">
        <f>O10-O12-O13-O14</f>
        <v>1235196</v>
      </c>
    </row>
    <row r="16" spans="2:15" ht="15.6" x14ac:dyDescent="0.3">
      <c r="B16" s="13" t="s">
        <v>30</v>
      </c>
      <c r="C16" s="18" t="s">
        <v>68</v>
      </c>
      <c r="D16" s="13">
        <v>0</v>
      </c>
      <c r="E16" s="21">
        <f>E15*12%</f>
        <v>39675.119999999995</v>
      </c>
      <c r="F16" s="56"/>
      <c r="G16" s="13" t="s">
        <v>30</v>
      </c>
      <c r="H16" s="18" t="s">
        <v>68</v>
      </c>
      <c r="I16" s="21">
        <f>12%*I15</f>
        <v>2233.2099999999978</v>
      </c>
      <c r="J16" s="21">
        <f>J15*12%</f>
        <v>80633.52</v>
      </c>
      <c r="K16" s="57"/>
      <c r="L16" s="13" t="s">
        <v>30</v>
      </c>
      <c r="M16" s="18" t="s">
        <v>68</v>
      </c>
      <c r="N16" s="21">
        <f>12%*N15</f>
        <v>7865.7099999999973</v>
      </c>
      <c r="O16" s="21">
        <f>O15*12%</f>
        <v>148223.51999999999</v>
      </c>
    </row>
    <row r="17" spans="2:15" ht="15.6" x14ac:dyDescent="0.3">
      <c r="B17" s="13" t="s">
        <v>32</v>
      </c>
      <c r="C17" s="19" t="s">
        <v>69</v>
      </c>
      <c r="D17" s="16">
        <v>-3771</v>
      </c>
      <c r="E17" s="22">
        <f>E15-E16</f>
        <v>290950.88</v>
      </c>
      <c r="F17" s="12"/>
      <c r="G17" s="13" t="s">
        <v>32</v>
      </c>
      <c r="H17" s="19" t="s">
        <v>69</v>
      </c>
      <c r="I17" s="22">
        <f>I15-I16</f>
        <v>16376.873333333317</v>
      </c>
      <c r="J17" s="22">
        <f>J15-J16</f>
        <v>591312.48</v>
      </c>
      <c r="K17" s="12"/>
      <c r="L17" s="13" t="s">
        <v>32</v>
      </c>
      <c r="M17" s="19" t="s">
        <v>69</v>
      </c>
      <c r="N17" s="22">
        <f>N15-N16</f>
        <v>57681.873333333315</v>
      </c>
      <c r="O17" s="22">
        <f>O15-O16</f>
        <v>1086972.48</v>
      </c>
    </row>
  </sheetData>
  <mergeCells count="16">
    <mergeCell ref="B3:H3"/>
    <mergeCell ref="B6:B7"/>
    <mergeCell ref="C6:C7"/>
    <mergeCell ref="D6:D7"/>
    <mergeCell ref="E6:E7"/>
    <mergeCell ref="G6:G7"/>
    <mergeCell ref="H6:H7"/>
    <mergeCell ref="B5:E5"/>
    <mergeCell ref="G5:J5"/>
    <mergeCell ref="I6:I7"/>
    <mergeCell ref="J6:J7"/>
    <mergeCell ref="L5:O5"/>
    <mergeCell ref="L6:L7"/>
    <mergeCell ref="M6:M7"/>
    <mergeCell ref="N6:N7"/>
    <mergeCell ref="O6: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G29"/>
  <sheetViews>
    <sheetView topLeftCell="A22" zoomScaleNormal="100" workbookViewId="0">
      <selection activeCell="F35" sqref="F35"/>
    </sheetView>
  </sheetViews>
  <sheetFormatPr defaultRowHeight="14.4" x14ac:dyDescent="0.3"/>
  <cols>
    <col min="2" max="2" width="7.44140625" bestFit="1" customWidth="1"/>
    <col min="3" max="3" width="57.5546875" bestFit="1" customWidth="1"/>
    <col min="4" max="4" width="24" bestFit="1" customWidth="1"/>
  </cols>
  <sheetData>
    <row r="4" spans="2:7" ht="17.399999999999999" x14ac:dyDescent="0.3">
      <c r="B4" s="101" t="s">
        <v>90</v>
      </c>
      <c r="C4" s="101"/>
      <c r="D4" s="101"/>
      <c r="E4" s="101"/>
      <c r="F4" s="101"/>
      <c r="G4" s="101"/>
    </row>
    <row r="5" spans="2:7" ht="15.6" x14ac:dyDescent="0.3">
      <c r="B5" s="42"/>
      <c r="C5" s="42"/>
      <c r="D5" s="42"/>
      <c r="E5" s="42"/>
      <c r="F5" s="42"/>
      <c r="G5" s="42"/>
    </row>
    <row r="6" spans="2:7" ht="15.6" x14ac:dyDescent="0.3">
      <c r="B6" s="42"/>
      <c r="C6" s="42"/>
      <c r="D6" s="42"/>
      <c r="E6" s="42"/>
      <c r="F6" s="42"/>
      <c r="G6" s="42"/>
    </row>
    <row r="7" spans="2:7" ht="15.6" x14ac:dyDescent="0.3">
      <c r="B7" s="103" t="s">
        <v>0</v>
      </c>
      <c r="C7" s="105" t="s">
        <v>59</v>
      </c>
      <c r="D7" s="107" t="s">
        <v>91</v>
      </c>
      <c r="E7" s="42"/>
      <c r="F7" s="42"/>
      <c r="G7" s="42"/>
    </row>
    <row r="8" spans="2:7" ht="15.6" x14ac:dyDescent="0.3">
      <c r="B8" s="104"/>
      <c r="C8" s="106"/>
      <c r="D8" s="108"/>
      <c r="E8" s="42"/>
      <c r="F8" s="42"/>
      <c r="G8" s="42"/>
    </row>
    <row r="9" spans="2:7" ht="36" customHeight="1" x14ac:dyDescent="0.3">
      <c r="B9" s="45" t="s">
        <v>4</v>
      </c>
      <c r="C9" s="46" t="s">
        <v>92</v>
      </c>
      <c r="D9" s="45">
        <v>0</v>
      </c>
      <c r="E9" s="42"/>
      <c r="F9" s="42"/>
      <c r="G9" s="42"/>
    </row>
    <row r="10" spans="2:7" ht="18" x14ac:dyDescent="0.3">
      <c r="B10" s="45" t="s">
        <v>5</v>
      </c>
      <c r="C10" s="102" t="s">
        <v>93</v>
      </c>
      <c r="D10" s="102"/>
      <c r="E10" s="42"/>
      <c r="F10" s="42"/>
      <c r="G10" s="42"/>
    </row>
    <row r="11" spans="2:7" ht="27" customHeight="1" x14ac:dyDescent="0.3">
      <c r="B11" s="45" t="s">
        <v>94</v>
      </c>
      <c r="C11" s="46" t="s">
        <v>95</v>
      </c>
      <c r="D11" s="45">
        <f>'Planul Investitional'!F22</f>
        <v>388775</v>
      </c>
      <c r="E11" s="42"/>
      <c r="F11" s="42"/>
      <c r="G11" s="42"/>
    </row>
    <row r="12" spans="2:7" ht="18" x14ac:dyDescent="0.3">
      <c r="B12" s="45" t="s">
        <v>96</v>
      </c>
      <c r="C12" s="47" t="s">
        <v>97</v>
      </c>
      <c r="D12" s="45">
        <f>'Planul Investitional'!G22</f>
        <v>390000</v>
      </c>
      <c r="E12" s="42"/>
      <c r="F12" s="42"/>
      <c r="G12" s="42"/>
    </row>
    <row r="13" spans="2:7" ht="18" x14ac:dyDescent="0.3">
      <c r="B13" s="45" t="s">
        <v>98</v>
      </c>
      <c r="C13" s="47" t="s">
        <v>99</v>
      </c>
      <c r="D13" s="45">
        <f>Venit!G17</f>
        <v>2148000</v>
      </c>
      <c r="E13" s="42"/>
      <c r="F13" s="42"/>
      <c r="G13" s="42"/>
    </row>
    <row r="14" spans="2:7" ht="18" x14ac:dyDescent="0.3">
      <c r="B14" s="48"/>
      <c r="C14" s="49" t="s">
        <v>100</v>
      </c>
      <c r="D14" s="48">
        <f>D11+D12+D13</f>
        <v>2926775</v>
      </c>
      <c r="E14" s="42"/>
      <c r="F14" s="42"/>
      <c r="G14" s="42"/>
    </row>
    <row r="15" spans="2:7" ht="18" x14ac:dyDescent="0.3">
      <c r="B15" s="45" t="s">
        <v>7</v>
      </c>
      <c r="C15" s="102" t="s">
        <v>101</v>
      </c>
      <c r="D15" s="102"/>
      <c r="E15" s="42"/>
      <c r="F15" s="42"/>
      <c r="G15" s="42"/>
    </row>
    <row r="16" spans="2:7" ht="29.25" customHeight="1" x14ac:dyDescent="0.3">
      <c r="B16" s="45" t="s">
        <v>102</v>
      </c>
      <c r="C16" s="46" t="s">
        <v>103</v>
      </c>
      <c r="D16" s="45">
        <f>'Planul Investitional'!E10</f>
        <v>608150</v>
      </c>
      <c r="E16" s="43"/>
      <c r="F16" s="44"/>
      <c r="G16" s="44"/>
    </row>
    <row r="17" spans="2:7" ht="18" x14ac:dyDescent="0.3">
      <c r="B17" s="45" t="s">
        <v>104</v>
      </c>
      <c r="C17" s="47" t="s">
        <v>105</v>
      </c>
      <c r="D17" s="45">
        <f>'Planul Investitional'!E19</f>
        <v>35625</v>
      </c>
      <c r="E17" s="42"/>
      <c r="F17" s="42"/>
      <c r="G17" s="42"/>
    </row>
    <row r="18" spans="2:7" ht="30.75" customHeight="1" x14ac:dyDescent="0.3">
      <c r="B18" s="50" t="s">
        <v>106</v>
      </c>
      <c r="C18" s="51" t="s">
        <v>107</v>
      </c>
      <c r="D18" s="50">
        <f>Cheltuieli!E14</f>
        <v>100000</v>
      </c>
      <c r="E18" s="42"/>
      <c r="F18" s="42"/>
      <c r="G18" s="42"/>
    </row>
    <row r="19" spans="2:7" ht="18" x14ac:dyDescent="0.3">
      <c r="B19" s="50" t="s">
        <v>108</v>
      </c>
      <c r="C19" s="52" t="s">
        <v>23</v>
      </c>
      <c r="D19" s="50">
        <f>Cheltuieli!E13</f>
        <v>240000</v>
      </c>
      <c r="E19" s="20"/>
      <c r="F19" s="20"/>
      <c r="G19" s="20"/>
    </row>
    <row r="20" spans="2:7" ht="30.75" customHeight="1" x14ac:dyDescent="0.3">
      <c r="B20" s="50" t="s">
        <v>109</v>
      </c>
      <c r="C20" s="51" t="s">
        <v>110</v>
      </c>
      <c r="D20" s="50">
        <f>Cheltuieli!E9+Cheltuieli!E10+Cheltuieli!E19+Cheltuieli!E20</f>
        <v>1279680</v>
      </c>
      <c r="E20" s="20"/>
      <c r="F20" s="20"/>
      <c r="G20" s="20"/>
    </row>
    <row r="21" spans="2:7" ht="18" x14ac:dyDescent="0.3">
      <c r="B21" s="50" t="s">
        <v>111</v>
      </c>
      <c r="C21" s="52" t="s">
        <v>112</v>
      </c>
      <c r="D21" s="50">
        <v>105000</v>
      </c>
      <c r="E21" s="20"/>
      <c r="F21" s="20"/>
      <c r="G21" s="20"/>
    </row>
    <row r="22" spans="2:7" ht="33.75" customHeight="1" x14ac:dyDescent="0.3">
      <c r="B22" s="50" t="s">
        <v>113</v>
      </c>
      <c r="C22" s="51" t="s">
        <v>114</v>
      </c>
      <c r="D22" s="50">
        <f>Cheltuieli!E23</f>
        <v>40254</v>
      </c>
      <c r="E22" s="20"/>
      <c r="F22" s="20"/>
      <c r="G22" s="20"/>
    </row>
    <row r="23" spans="2:7" ht="18" x14ac:dyDescent="0.3">
      <c r="B23" s="50" t="s">
        <v>115</v>
      </c>
      <c r="C23" s="52" t="s">
        <v>116</v>
      </c>
      <c r="D23" s="50">
        <v>0</v>
      </c>
      <c r="E23" s="20"/>
      <c r="F23" s="20"/>
      <c r="G23" s="20"/>
    </row>
    <row r="24" spans="2:7" ht="18" x14ac:dyDescent="0.3">
      <c r="B24" s="50" t="s">
        <v>117</v>
      </c>
      <c r="C24" s="52" t="s">
        <v>118</v>
      </c>
      <c r="D24" s="50">
        <f>Cheltuieli!E15+Cheltuieli!E21+Cheltuieli!E22+Cheltuieli!E24+Cheltuieli!E28</f>
        <v>55400</v>
      </c>
      <c r="E24" s="20"/>
      <c r="F24" s="20"/>
      <c r="G24" s="20"/>
    </row>
    <row r="25" spans="2:7" ht="18" x14ac:dyDescent="0.3">
      <c r="B25" s="50" t="s">
        <v>119</v>
      </c>
      <c r="C25" s="52" t="s">
        <v>120</v>
      </c>
      <c r="D25" s="76">
        <f>'Profit&amp;Pierderi'!E16</f>
        <v>39675.119999999995</v>
      </c>
      <c r="E25" s="20"/>
      <c r="F25" s="20"/>
      <c r="G25" s="20"/>
    </row>
    <row r="26" spans="2:7" ht="18" x14ac:dyDescent="0.3">
      <c r="B26" s="50"/>
      <c r="C26" s="52"/>
      <c r="D26" s="50"/>
      <c r="E26" s="20"/>
      <c r="F26" s="20"/>
      <c r="G26" s="20"/>
    </row>
    <row r="27" spans="2:7" ht="18" x14ac:dyDescent="0.3">
      <c r="B27" s="48"/>
      <c r="C27" s="49" t="s">
        <v>121</v>
      </c>
      <c r="D27" s="77">
        <f>SUM(D16:D25)</f>
        <v>2503784.12</v>
      </c>
      <c r="E27" s="20"/>
      <c r="F27" s="20"/>
      <c r="G27" s="20"/>
    </row>
    <row r="28" spans="2:7" ht="18" x14ac:dyDescent="0.35">
      <c r="B28" s="53" t="s">
        <v>9</v>
      </c>
      <c r="C28" s="54" t="s">
        <v>122</v>
      </c>
      <c r="D28" s="78">
        <f>D14-D27</f>
        <v>422990.87999999989</v>
      </c>
      <c r="E28" s="20"/>
      <c r="F28" s="20"/>
      <c r="G28" s="20"/>
    </row>
    <row r="29" spans="2:7" ht="36" customHeight="1" x14ac:dyDescent="0.3">
      <c r="B29" s="45" t="s">
        <v>21</v>
      </c>
      <c r="C29" s="46" t="s">
        <v>123</v>
      </c>
      <c r="D29" s="79">
        <f>D28+D9</f>
        <v>422990.87999999989</v>
      </c>
      <c r="E29" s="20"/>
      <c r="F29" s="20"/>
      <c r="G29" s="20"/>
    </row>
  </sheetData>
  <mergeCells count="6">
    <mergeCell ref="C15:D15"/>
    <mergeCell ref="B4:G4"/>
    <mergeCell ref="B7:B8"/>
    <mergeCell ref="C7:C8"/>
    <mergeCell ref="D7:D8"/>
    <mergeCell ref="C10:D1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H15"/>
  <sheetViews>
    <sheetView topLeftCell="A13" zoomScaleNormal="100" workbookViewId="0">
      <selection activeCell="H14" sqref="H14"/>
    </sheetView>
  </sheetViews>
  <sheetFormatPr defaultRowHeight="14.4" x14ac:dyDescent="0.3"/>
  <cols>
    <col min="2" max="2" width="29" bestFit="1" customWidth="1"/>
    <col min="3" max="3" width="28.109375" bestFit="1" customWidth="1"/>
    <col min="4" max="4" width="26.44140625" bestFit="1" customWidth="1"/>
    <col min="5" max="5" width="26.88671875" bestFit="1" customWidth="1"/>
    <col min="7" max="7" width="48" bestFit="1" customWidth="1"/>
    <col min="8" max="8" width="12.88671875" bestFit="1" customWidth="1"/>
  </cols>
  <sheetData>
    <row r="2" spans="2:8" ht="17.399999999999999" x14ac:dyDescent="0.3">
      <c r="B2" s="62" t="s">
        <v>59</v>
      </c>
      <c r="C2" s="62" t="s">
        <v>131</v>
      </c>
      <c r="D2" s="62" t="s">
        <v>132</v>
      </c>
      <c r="E2" s="62" t="s">
        <v>133</v>
      </c>
    </row>
    <row r="3" spans="2:8" ht="17.399999999999999" x14ac:dyDescent="0.3">
      <c r="B3" s="63" t="s">
        <v>134</v>
      </c>
      <c r="C3" s="64">
        <f>Venit!G17</f>
        <v>2148000</v>
      </c>
      <c r="D3" s="64">
        <f>Venit!N17</f>
        <v>2685000</v>
      </c>
      <c r="E3" s="64">
        <f>Venit!U17</f>
        <v>3356250</v>
      </c>
    </row>
    <row r="4" spans="2:8" ht="36" x14ac:dyDescent="0.35">
      <c r="B4" s="65" t="s">
        <v>135</v>
      </c>
      <c r="C4" s="66">
        <v>100</v>
      </c>
      <c r="D4" s="66">
        <f>D3/C3*100</f>
        <v>125</v>
      </c>
      <c r="E4" s="80">
        <f>E3/C3*100</f>
        <v>156.25</v>
      </c>
    </row>
    <row r="5" spans="2:8" ht="17.399999999999999" x14ac:dyDescent="0.3">
      <c r="B5" s="63" t="s">
        <v>136</v>
      </c>
      <c r="C5" s="64">
        <f>Cheltuieli!E29</f>
        <v>1677177</v>
      </c>
      <c r="D5" s="64">
        <f>Cheltuieli!J29</f>
        <v>1929054</v>
      </c>
      <c r="E5" s="64">
        <f>Cheltuieli!O29</f>
        <v>2001054</v>
      </c>
    </row>
    <row r="6" spans="2:8" ht="36" x14ac:dyDescent="0.35">
      <c r="B6" s="65" t="s">
        <v>135</v>
      </c>
      <c r="C6" s="66">
        <v>100</v>
      </c>
      <c r="D6" s="66">
        <v>104</v>
      </c>
      <c r="E6" s="66">
        <v>108</v>
      </c>
    </row>
    <row r="7" spans="2:8" ht="17.399999999999999" x14ac:dyDescent="0.3">
      <c r="B7" s="63" t="s">
        <v>137</v>
      </c>
      <c r="C7" s="67">
        <f>'Profit&amp;Pierderi'!E10</f>
        <v>934680</v>
      </c>
      <c r="D7" s="67">
        <f>'Profit&amp;Pierderi'!J10</f>
        <v>1345600</v>
      </c>
      <c r="E7" s="67">
        <f>'Profit&amp;Pierderi'!O10</f>
        <v>1944850</v>
      </c>
    </row>
    <row r="8" spans="2:8" ht="36" x14ac:dyDescent="0.35">
      <c r="B8" s="65" t="s">
        <v>135</v>
      </c>
      <c r="C8" s="66">
        <v>100</v>
      </c>
      <c r="D8" s="66">
        <v>135</v>
      </c>
      <c r="E8" s="66">
        <v>189</v>
      </c>
    </row>
    <row r="9" spans="2:8" ht="17.399999999999999" x14ac:dyDescent="0.3">
      <c r="B9" s="63" t="s">
        <v>138</v>
      </c>
      <c r="C9" s="69">
        <f>'Profit&amp;Pierderi'!E17</f>
        <v>290950.88</v>
      </c>
      <c r="D9" s="69">
        <f>'Profit&amp;Pierderi'!J17</f>
        <v>591312.48</v>
      </c>
      <c r="E9" s="69">
        <f>'Profit&amp;Pierderi'!O17</f>
        <v>1086972.48</v>
      </c>
      <c r="F9" s="179">
        <f>(C9+D9+E9)/3</f>
        <v>656411.94666666666</v>
      </c>
    </row>
    <row r="10" spans="2:8" ht="36" x14ac:dyDescent="0.35">
      <c r="B10" s="65" t="s">
        <v>135</v>
      </c>
      <c r="C10" s="66">
        <v>100</v>
      </c>
      <c r="D10" s="66">
        <v>170</v>
      </c>
      <c r="E10" s="66">
        <v>281</v>
      </c>
    </row>
    <row r="11" spans="2:8" ht="52.2" x14ac:dyDescent="0.3">
      <c r="B11" s="68" t="s">
        <v>139</v>
      </c>
      <c r="C11" s="69">
        <f>(C7*100)/C3</f>
        <v>43.513966480446925</v>
      </c>
      <c r="D11" s="69">
        <f t="shared" ref="D11:E11" si="0">(D7*100)/D3</f>
        <v>50.115456238361269</v>
      </c>
      <c r="E11" s="69">
        <f t="shared" si="0"/>
        <v>57.947113594040971</v>
      </c>
    </row>
    <row r="12" spans="2:8" ht="36" x14ac:dyDescent="0.35">
      <c r="B12" s="65" t="s">
        <v>135</v>
      </c>
      <c r="C12" s="66">
        <v>100</v>
      </c>
      <c r="D12" s="66">
        <v>107</v>
      </c>
      <c r="E12" s="66">
        <v>122</v>
      </c>
    </row>
    <row r="14" spans="2:8" ht="18" x14ac:dyDescent="0.35">
      <c r="G14" s="74" t="s">
        <v>141</v>
      </c>
      <c r="H14" s="180">
        <f>(C9+D9+E9)/3</f>
        <v>656411.94666666666</v>
      </c>
    </row>
    <row r="15" spans="2:8" ht="18" x14ac:dyDescent="0.35">
      <c r="G15" s="74" t="s">
        <v>140</v>
      </c>
      <c r="H15" s="75" t="s">
        <v>142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5A347C59587948AD3B8D5043C70D57" ma:contentTypeVersion="12" ma:contentTypeDescription="Create a new document." ma:contentTypeScope="" ma:versionID="18577b3a768e6c2b919d25ab588774db">
  <xsd:schema xmlns:xsd="http://www.w3.org/2001/XMLSchema" xmlns:xs="http://www.w3.org/2001/XMLSchema" xmlns:p="http://schemas.microsoft.com/office/2006/metadata/properties" xmlns:ns2="63db5ef8-041e-4934-b717-f9587993fe40" xmlns:ns3="e74c943a-b252-4337-982a-de04a6556c70" targetNamespace="http://schemas.microsoft.com/office/2006/metadata/properties" ma:root="true" ma:fieldsID="72c0f50f9ca33e8489fe3d81e0f01a5c" ns2:_="" ns3:_="">
    <xsd:import namespace="63db5ef8-041e-4934-b717-f9587993fe40"/>
    <xsd:import namespace="e74c943a-b252-4337-982a-de04a6556c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db5ef8-041e-4934-b717-f9587993fe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c943a-b252-4337-982a-de04a6556c7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BF0FC8-0123-418A-B726-B07945F60F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FBE967-9BB9-48CF-A4DB-401D5DB1019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1F4FD74-A988-4673-BF62-C88A74FB30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db5ef8-041e-4934-b717-f9587993fe40"/>
    <ds:schemaRef ds:uri="e74c943a-b252-4337-982a-de04a6556c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Planul Investitional</vt:lpstr>
      <vt:lpstr>Venit</vt:lpstr>
      <vt:lpstr>Mijloace fixe</vt:lpstr>
      <vt:lpstr>Fondul de salarizare</vt:lpstr>
      <vt:lpstr>Cheltuieli</vt:lpstr>
      <vt:lpstr>Profit&amp;Pierderi</vt:lpstr>
      <vt:lpstr>Cash Flow</vt:lpstr>
      <vt:lpstr>Indicatorii Economici</vt:lpstr>
    </vt:vector>
  </TitlesOfParts>
  <Manager/>
  <Company>SPecialiST RePack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User</cp:lastModifiedBy>
  <cp:revision/>
  <dcterms:created xsi:type="dcterms:W3CDTF">2021-11-16T10:13:58Z</dcterms:created>
  <dcterms:modified xsi:type="dcterms:W3CDTF">2025-05-04T15:41:20Z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0x010100525A347C59587948AD3B8D5043C70D57</vt:lpwstr>
  </property>
</Properties>
</file>